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724EA727-613C-423A-815A-32E37FC6AD1C}" xr6:coauthVersionLast="47" xr6:coauthVersionMax="47" xr10:uidLastSave="{00000000-0000-0000-0000-000000000000}"/>
  <bookViews>
    <workbookView xWindow="-108" yWindow="-108" windowWidth="23256" windowHeight="12576" tabRatio="909" xr2:uid="{00000000-000D-0000-FFFF-FFFF00000000}"/>
  </bookViews>
  <sheets>
    <sheet name="Rekapitulace - 3. NP-C" sheetId="34" r:id="rId1"/>
    <sheet name="NOVÝ STAV" sheetId="47" r:id="rId2"/>
  </sheets>
  <externalReferences>
    <externalReference r:id="rId3"/>
    <externalReference r:id="rId4"/>
    <externalReference r:id="rId5"/>
    <externalReference r:id="rId6"/>
  </externalReferences>
  <definedNames>
    <definedName name="_________obl11">#REF!</definedName>
    <definedName name="_________obl12">#REF!</definedName>
    <definedName name="_________obl13">#REF!</definedName>
    <definedName name="_________obl14">#REF!</definedName>
    <definedName name="_________obl15">#REF!</definedName>
    <definedName name="_________obl16">#REF!</definedName>
    <definedName name="_________obl17">#REF!</definedName>
    <definedName name="_________obl1710">#REF!</definedName>
    <definedName name="_________obl1711">#REF!</definedName>
    <definedName name="_________obl1712">#REF!</definedName>
    <definedName name="_________obl1713">#REF!</definedName>
    <definedName name="_________obl1714">#REF!</definedName>
    <definedName name="_________obl1715">#REF!</definedName>
    <definedName name="_________obl1716">#REF!</definedName>
    <definedName name="_________obl1717">#REF!</definedName>
    <definedName name="_________obl1718">#REF!</definedName>
    <definedName name="_________obl1719">#REF!</definedName>
    <definedName name="_________obl173">#REF!</definedName>
    <definedName name="_________obl174">#REF!</definedName>
    <definedName name="_________obl175">#REF!</definedName>
    <definedName name="_________obl176">#REF!</definedName>
    <definedName name="_________obl177">#REF!</definedName>
    <definedName name="_________obl178">#REF!</definedName>
    <definedName name="_________obl179">#REF!</definedName>
    <definedName name="_________obl18">#REF!</definedName>
    <definedName name="_________obl181">#REF!</definedName>
    <definedName name="_________obl1816">#REF!</definedName>
    <definedName name="_________obl1820">#REF!</definedName>
    <definedName name="_________obl1821">#REF!</definedName>
    <definedName name="_________obl1822">#REF!</definedName>
    <definedName name="_________obl1823">#REF!</definedName>
    <definedName name="_________obl1824">#REF!</definedName>
    <definedName name="_________obl1825">#REF!</definedName>
    <definedName name="_________obl1826">#REF!</definedName>
    <definedName name="_________obl1827">#REF!</definedName>
    <definedName name="_________obl1828">#REF!</definedName>
    <definedName name="_________obl1829">#REF!</definedName>
    <definedName name="_________obl183">#REF!</definedName>
    <definedName name="_________obl1831">#REF!</definedName>
    <definedName name="_________obl1832">#REF!</definedName>
    <definedName name="_________obl184">#REF!</definedName>
    <definedName name="_________obl185">#REF!</definedName>
    <definedName name="_________obl186">#REF!</definedName>
    <definedName name="_________obl187">#REF!</definedName>
    <definedName name="________obl11" localSheetId="1">#REF!</definedName>
    <definedName name="________obl11" localSheetId="0">#REF!</definedName>
    <definedName name="________obl11">#REF!</definedName>
    <definedName name="________obl12" localSheetId="1">#REF!</definedName>
    <definedName name="________obl12" localSheetId="0">#REF!</definedName>
    <definedName name="________obl12">#REF!</definedName>
    <definedName name="________obl13" localSheetId="1">#REF!</definedName>
    <definedName name="________obl13" localSheetId="0">#REF!</definedName>
    <definedName name="________obl13">#REF!</definedName>
    <definedName name="________obl14" localSheetId="1">#REF!</definedName>
    <definedName name="________obl14" localSheetId="0">#REF!</definedName>
    <definedName name="________obl14">#REF!</definedName>
    <definedName name="________obl15" localSheetId="1">#REF!</definedName>
    <definedName name="________obl15" localSheetId="0">#REF!</definedName>
    <definedName name="________obl15">#REF!</definedName>
    <definedName name="________obl16" localSheetId="1">#REF!</definedName>
    <definedName name="________obl16" localSheetId="0">#REF!</definedName>
    <definedName name="________obl16">#REF!</definedName>
    <definedName name="________obl17" localSheetId="1">#REF!</definedName>
    <definedName name="________obl17" localSheetId="0">#REF!</definedName>
    <definedName name="________obl17">#REF!</definedName>
    <definedName name="________obl1710" localSheetId="1">#REF!</definedName>
    <definedName name="________obl1710" localSheetId="0">#REF!</definedName>
    <definedName name="________obl1710">#REF!</definedName>
    <definedName name="________obl1711" localSheetId="1">#REF!</definedName>
    <definedName name="________obl1711" localSheetId="0">#REF!</definedName>
    <definedName name="________obl1711">#REF!</definedName>
    <definedName name="________obl1712" localSheetId="1">#REF!</definedName>
    <definedName name="________obl1712" localSheetId="0">#REF!</definedName>
    <definedName name="________obl1712">#REF!</definedName>
    <definedName name="________obl1713" localSheetId="1">#REF!</definedName>
    <definedName name="________obl1713" localSheetId="0">#REF!</definedName>
    <definedName name="________obl1713">#REF!</definedName>
    <definedName name="________obl1714" localSheetId="1">#REF!</definedName>
    <definedName name="________obl1714" localSheetId="0">#REF!</definedName>
    <definedName name="________obl1714">#REF!</definedName>
    <definedName name="________obl1715" localSheetId="1">#REF!</definedName>
    <definedName name="________obl1715" localSheetId="0">#REF!</definedName>
    <definedName name="________obl1715">#REF!</definedName>
    <definedName name="________obl1716" localSheetId="1">#REF!</definedName>
    <definedName name="________obl1716" localSheetId="0">#REF!</definedName>
    <definedName name="________obl1716">#REF!</definedName>
    <definedName name="________obl1717" localSheetId="1">#REF!</definedName>
    <definedName name="________obl1717" localSheetId="0">#REF!</definedName>
    <definedName name="________obl1717">#REF!</definedName>
    <definedName name="________obl1718" localSheetId="1">#REF!</definedName>
    <definedName name="________obl1718" localSheetId="0">#REF!</definedName>
    <definedName name="________obl1718">#REF!</definedName>
    <definedName name="________obl1719" localSheetId="1">#REF!</definedName>
    <definedName name="________obl1719" localSheetId="0">#REF!</definedName>
    <definedName name="________obl1719">#REF!</definedName>
    <definedName name="________obl173" localSheetId="1">#REF!</definedName>
    <definedName name="________obl173" localSheetId="0">#REF!</definedName>
    <definedName name="________obl173">#REF!</definedName>
    <definedName name="________obl174" localSheetId="1">#REF!</definedName>
    <definedName name="________obl174" localSheetId="0">#REF!</definedName>
    <definedName name="________obl174">#REF!</definedName>
    <definedName name="________obl175" localSheetId="1">#REF!</definedName>
    <definedName name="________obl175" localSheetId="0">#REF!</definedName>
    <definedName name="________obl175">#REF!</definedName>
    <definedName name="________obl176" localSheetId="1">#REF!</definedName>
    <definedName name="________obl176" localSheetId="0">#REF!</definedName>
    <definedName name="________obl176">#REF!</definedName>
    <definedName name="________obl177" localSheetId="1">#REF!</definedName>
    <definedName name="________obl177" localSheetId="0">#REF!</definedName>
    <definedName name="________obl177">#REF!</definedName>
    <definedName name="________obl178" localSheetId="1">#REF!</definedName>
    <definedName name="________obl178" localSheetId="0">#REF!</definedName>
    <definedName name="________obl178">#REF!</definedName>
    <definedName name="________obl179" localSheetId="1">#REF!</definedName>
    <definedName name="________obl179" localSheetId="0">#REF!</definedName>
    <definedName name="________obl179">#REF!</definedName>
    <definedName name="________obl18" localSheetId="1">#REF!</definedName>
    <definedName name="________obl18" localSheetId="0">#REF!</definedName>
    <definedName name="________obl18">#REF!</definedName>
    <definedName name="________obl181" localSheetId="1">#REF!</definedName>
    <definedName name="________obl181" localSheetId="0">#REF!</definedName>
    <definedName name="________obl181">#REF!</definedName>
    <definedName name="________obl1816" localSheetId="1">#REF!</definedName>
    <definedName name="________obl1816" localSheetId="0">#REF!</definedName>
    <definedName name="________obl1816">#REF!</definedName>
    <definedName name="________obl1820" localSheetId="1">#REF!</definedName>
    <definedName name="________obl1820" localSheetId="0">#REF!</definedName>
    <definedName name="________obl1820">#REF!</definedName>
    <definedName name="________obl1821" localSheetId="1">#REF!</definedName>
    <definedName name="________obl1821" localSheetId="0">#REF!</definedName>
    <definedName name="________obl1821">#REF!</definedName>
    <definedName name="________obl1822" localSheetId="1">#REF!</definedName>
    <definedName name="________obl1822" localSheetId="0">#REF!</definedName>
    <definedName name="________obl1822">#REF!</definedName>
    <definedName name="________obl1823" localSheetId="1">#REF!</definedName>
    <definedName name="________obl1823" localSheetId="0">#REF!</definedName>
    <definedName name="________obl1823">#REF!</definedName>
    <definedName name="________obl1824" localSheetId="1">#REF!</definedName>
    <definedName name="________obl1824" localSheetId="0">#REF!</definedName>
    <definedName name="________obl1824">#REF!</definedName>
    <definedName name="________obl1825" localSheetId="1">#REF!</definedName>
    <definedName name="________obl1825" localSheetId="0">#REF!</definedName>
    <definedName name="________obl1825">#REF!</definedName>
    <definedName name="________obl1826" localSheetId="1">#REF!</definedName>
    <definedName name="________obl1826" localSheetId="0">#REF!</definedName>
    <definedName name="________obl1826">#REF!</definedName>
    <definedName name="________obl1827" localSheetId="1">#REF!</definedName>
    <definedName name="________obl1827" localSheetId="0">#REF!</definedName>
    <definedName name="________obl1827">#REF!</definedName>
    <definedName name="________obl1828" localSheetId="1">#REF!</definedName>
    <definedName name="________obl1828" localSheetId="0">#REF!</definedName>
    <definedName name="________obl1828">#REF!</definedName>
    <definedName name="________obl1829" localSheetId="1">#REF!</definedName>
    <definedName name="________obl1829" localSheetId="0">#REF!</definedName>
    <definedName name="________obl1829">#REF!</definedName>
    <definedName name="________obl183" localSheetId="1">#REF!</definedName>
    <definedName name="________obl183" localSheetId="0">#REF!</definedName>
    <definedName name="________obl183">#REF!</definedName>
    <definedName name="________obl1831" localSheetId="1">#REF!</definedName>
    <definedName name="________obl1831" localSheetId="0">#REF!</definedName>
    <definedName name="________obl1831">#REF!</definedName>
    <definedName name="________obl1832" localSheetId="1">#REF!</definedName>
    <definedName name="________obl1832" localSheetId="0">#REF!</definedName>
    <definedName name="________obl1832">#REF!</definedName>
    <definedName name="________obl184" localSheetId="1">#REF!</definedName>
    <definedName name="________obl184" localSheetId="0">#REF!</definedName>
    <definedName name="________obl184">#REF!</definedName>
    <definedName name="________obl185" localSheetId="1">#REF!</definedName>
    <definedName name="________obl185" localSheetId="0">#REF!</definedName>
    <definedName name="________obl185">#REF!</definedName>
    <definedName name="________obl186" localSheetId="1">#REF!</definedName>
    <definedName name="________obl186" localSheetId="0">#REF!</definedName>
    <definedName name="________obl186">#REF!</definedName>
    <definedName name="________obl187" localSheetId="1">#REF!</definedName>
    <definedName name="________obl187" localSheetId="0">#REF!</definedName>
    <definedName name="________obl187">#REF!</definedName>
    <definedName name="______obl11" localSheetId="1">#REF!</definedName>
    <definedName name="______obl11" localSheetId="0">#REF!</definedName>
    <definedName name="______obl11">#REF!</definedName>
    <definedName name="______obl12" localSheetId="1">#REF!</definedName>
    <definedName name="______obl12" localSheetId="0">#REF!</definedName>
    <definedName name="______obl12">#REF!</definedName>
    <definedName name="______obl13" localSheetId="1">#REF!</definedName>
    <definedName name="______obl13" localSheetId="0">#REF!</definedName>
    <definedName name="______obl13">#REF!</definedName>
    <definedName name="______obl14" localSheetId="1">#REF!</definedName>
    <definedName name="______obl14" localSheetId="0">#REF!</definedName>
    <definedName name="______obl14">#REF!</definedName>
    <definedName name="______obl15" localSheetId="1">#REF!</definedName>
    <definedName name="______obl15" localSheetId="0">#REF!</definedName>
    <definedName name="______obl15">#REF!</definedName>
    <definedName name="______obl16" localSheetId="1">#REF!</definedName>
    <definedName name="______obl16" localSheetId="0">#REF!</definedName>
    <definedName name="______obl16">#REF!</definedName>
    <definedName name="______obl17" localSheetId="1">#REF!</definedName>
    <definedName name="______obl17" localSheetId="0">#REF!</definedName>
    <definedName name="______obl17">#REF!</definedName>
    <definedName name="______obl1710" localSheetId="1">#REF!</definedName>
    <definedName name="______obl1710" localSheetId="0">#REF!</definedName>
    <definedName name="______obl1710">#REF!</definedName>
    <definedName name="______obl1711" localSheetId="1">#REF!</definedName>
    <definedName name="______obl1711" localSheetId="0">#REF!</definedName>
    <definedName name="______obl1711">#REF!</definedName>
    <definedName name="______obl1712" localSheetId="1">#REF!</definedName>
    <definedName name="______obl1712" localSheetId="0">#REF!</definedName>
    <definedName name="______obl1712">#REF!</definedName>
    <definedName name="______obl1713" localSheetId="1">#REF!</definedName>
    <definedName name="______obl1713" localSheetId="0">#REF!</definedName>
    <definedName name="______obl1713">#REF!</definedName>
    <definedName name="______obl1714" localSheetId="1">#REF!</definedName>
    <definedName name="______obl1714" localSheetId="0">#REF!</definedName>
    <definedName name="______obl1714">#REF!</definedName>
    <definedName name="______obl1715" localSheetId="1">#REF!</definedName>
    <definedName name="______obl1715" localSheetId="0">#REF!</definedName>
    <definedName name="______obl1715">#REF!</definedName>
    <definedName name="______obl1716" localSheetId="1">#REF!</definedName>
    <definedName name="______obl1716" localSheetId="0">#REF!</definedName>
    <definedName name="______obl1716">#REF!</definedName>
    <definedName name="______obl1717" localSheetId="1">#REF!</definedName>
    <definedName name="______obl1717" localSheetId="0">#REF!</definedName>
    <definedName name="______obl1717">#REF!</definedName>
    <definedName name="______obl1718" localSheetId="1">#REF!</definedName>
    <definedName name="______obl1718" localSheetId="0">#REF!</definedName>
    <definedName name="______obl1718">#REF!</definedName>
    <definedName name="______obl1719" localSheetId="1">#REF!</definedName>
    <definedName name="______obl1719" localSheetId="0">#REF!</definedName>
    <definedName name="______obl1719">#REF!</definedName>
    <definedName name="______obl173" localSheetId="1">#REF!</definedName>
    <definedName name="______obl173" localSheetId="0">#REF!</definedName>
    <definedName name="______obl173">#REF!</definedName>
    <definedName name="______obl174" localSheetId="1">#REF!</definedName>
    <definedName name="______obl174" localSheetId="0">#REF!</definedName>
    <definedName name="______obl174">#REF!</definedName>
    <definedName name="______obl175" localSheetId="1">#REF!</definedName>
    <definedName name="______obl175" localSheetId="0">#REF!</definedName>
    <definedName name="______obl175">#REF!</definedName>
    <definedName name="______obl176" localSheetId="1">#REF!</definedName>
    <definedName name="______obl176" localSheetId="0">#REF!</definedName>
    <definedName name="______obl176">#REF!</definedName>
    <definedName name="______obl177" localSheetId="1">#REF!</definedName>
    <definedName name="______obl177" localSheetId="0">#REF!</definedName>
    <definedName name="______obl177">#REF!</definedName>
    <definedName name="______obl178" localSheetId="1">#REF!</definedName>
    <definedName name="______obl178" localSheetId="0">#REF!</definedName>
    <definedName name="______obl178">#REF!</definedName>
    <definedName name="______obl179" localSheetId="1">#REF!</definedName>
    <definedName name="______obl179" localSheetId="0">#REF!</definedName>
    <definedName name="______obl179">#REF!</definedName>
    <definedName name="______obl18" localSheetId="1">#REF!</definedName>
    <definedName name="______obl18" localSheetId="0">#REF!</definedName>
    <definedName name="______obl18">#REF!</definedName>
    <definedName name="______obl181" localSheetId="1">#REF!</definedName>
    <definedName name="______obl181" localSheetId="0">#REF!</definedName>
    <definedName name="______obl181">#REF!</definedName>
    <definedName name="______obl1816" localSheetId="1">#REF!</definedName>
    <definedName name="______obl1816" localSheetId="0">#REF!</definedName>
    <definedName name="______obl1816">#REF!</definedName>
    <definedName name="______obl1820" localSheetId="1">#REF!</definedName>
    <definedName name="______obl1820" localSheetId="0">#REF!</definedName>
    <definedName name="______obl1820">#REF!</definedName>
    <definedName name="______obl1821" localSheetId="1">#REF!</definedName>
    <definedName name="______obl1821" localSheetId="0">#REF!</definedName>
    <definedName name="______obl1821">#REF!</definedName>
    <definedName name="______obl1822" localSheetId="1">#REF!</definedName>
    <definedName name="______obl1822" localSheetId="0">#REF!</definedName>
    <definedName name="______obl1822">#REF!</definedName>
    <definedName name="______obl1823" localSheetId="1">#REF!</definedName>
    <definedName name="______obl1823" localSheetId="0">#REF!</definedName>
    <definedName name="______obl1823">#REF!</definedName>
    <definedName name="______obl1824" localSheetId="1">#REF!</definedName>
    <definedName name="______obl1824" localSheetId="0">#REF!</definedName>
    <definedName name="______obl1824">#REF!</definedName>
    <definedName name="______obl1825" localSheetId="1">#REF!</definedName>
    <definedName name="______obl1825" localSheetId="0">#REF!</definedName>
    <definedName name="______obl1825">#REF!</definedName>
    <definedName name="______obl1826" localSheetId="1">#REF!</definedName>
    <definedName name="______obl1826" localSheetId="0">#REF!</definedName>
    <definedName name="______obl1826">#REF!</definedName>
    <definedName name="______obl1827" localSheetId="1">#REF!</definedName>
    <definedName name="______obl1827" localSheetId="0">#REF!</definedName>
    <definedName name="______obl1827">#REF!</definedName>
    <definedName name="______obl1828" localSheetId="1">#REF!</definedName>
    <definedName name="______obl1828" localSheetId="0">#REF!</definedName>
    <definedName name="______obl1828">#REF!</definedName>
    <definedName name="______obl1829" localSheetId="1">#REF!</definedName>
    <definedName name="______obl1829" localSheetId="0">#REF!</definedName>
    <definedName name="______obl1829">#REF!</definedName>
    <definedName name="______obl183" localSheetId="1">#REF!</definedName>
    <definedName name="______obl183" localSheetId="0">#REF!</definedName>
    <definedName name="______obl183">#REF!</definedName>
    <definedName name="______obl1831" localSheetId="1">#REF!</definedName>
    <definedName name="______obl1831" localSheetId="0">#REF!</definedName>
    <definedName name="______obl1831">#REF!</definedName>
    <definedName name="______obl1832" localSheetId="1">#REF!</definedName>
    <definedName name="______obl1832" localSheetId="0">#REF!</definedName>
    <definedName name="______obl1832">#REF!</definedName>
    <definedName name="______obl184" localSheetId="1">#REF!</definedName>
    <definedName name="______obl184" localSheetId="0">#REF!</definedName>
    <definedName name="______obl184">#REF!</definedName>
    <definedName name="______obl185" localSheetId="1">#REF!</definedName>
    <definedName name="______obl185" localSheetId="0">#REF!</definedName>
    <definedName name="______obl185">#REF!</definedName>
    <definedName name="______obl186" localSheetId="1">#REF!</definedName>
    <definedName name="______obl186" localSheetId="0">#REF!</definedName>
    <definedName name="______obl186">#REF!</definedName>
    <definedName name="______obl187" localSheetId="1">#REF!</definedName>
    <definedName name="______obl187" localSheetId="0">#REF!</definedName>
    <definedName name="______obl187">#REF!</definedName>
    <definedName name="_____obl11" localSheetId="1">#REF!</definedName>
    <definedName name="_____obl12" localSheetId="1">#REF!</definedName>
    <definedName name="_____obl13" localSheetId="1">#REF!</definedName>
    <definedName name="_____obl14" localSheetId="1">#REF!</definedName>
    <definedName name="_____obl15" localSheetId="1">#REF!</definedName>
    <definedName name="_____obl16" localSheetId="1">#REF!</definedName>
    <definedName name="_____obl17" localSheetId="1">#REF!</definedName>
    <definedName name="_____obl1710" localSheetId="1">#REF!</definedName>
    <definedName name="_____obl1711" localSheetId="1">#REF!</definedName>
    <definedName name="_____obl1712" localSheetId="1">#REF!</definedName>
    <definedName name="_____obl1713" localSheetId="1">#REF!</definedName>
    <definedName name="_____obl1714" localSheetId="1">#REF!</definedName>
    <definedName name="_____obl1715" localSheetId="1">#REF!</definedName>
    <definedName name="_____obl1716" localSheetId="1">#REF!</definedName>
    <definedName name="_____obl1717" localSheetId="1">#REF!</definedName>
    <definedName name="_____obl1718" localSheetId="1">#REF!</definedName>
    <definedName name="_____obl1719" localSheetId="1">#REF!</definedName>
    <definedName name="_____obl173" localSheetId="1">#REF!</definedName>
    <definedName name="_____obl174" localSheetId="1">#REF!</definedName>
    <definedName name="_____obl175" localSheetId="1">#REF!</definedName>
    <definedName name="_____obl176" localSheetId="1">#REF!</definedName>
    <definedName name="_____obl177" localSheetId="1">#REF!</definedName>
    <definedName name="_____obl178" localSheetId="1">#REF!</definedName>
    <definedName name="_____obl179" localSheetId="1">#REF!</definedName>
    <definedName name="_____obl18" localSheetId="1">#REF!</definedName>
    <definedName name="_____obl181" localSheetId="1">#REF!</definedName>
    <definedName name="_____obl1816" localSheetId="1">#REF!</definedName>
    <definedName name="_____obl1820" localSheetId="1">#REF!</definedName>
    <definedName name="_____obl1821" localSheetId="1">#REF!</definedName>
    <definedName name="_____obl1822" localSheetId="1">#REF!</definedName>
    <definedName name="_____obl1823" localSheetId="1">#REF!</definedName>
    <definedName name="_____obl1824" localSheetId="1">#REF!</definedName>
    <definedName name="_____obl1825" localSheetId="1">#REF!</definedName>
    <definedName name="_____obl1826" localSheetId="1">#REF!</definedName>
    <definedName name="_____obl1827" localSheetId="1">#REF!</definedName>
    <definedName name="_____obl1828" localSheetId="1">#REF!</definedName>
    <definedName name="_____obl1829" localSheetId="1">#REF!</definedName>
    <definedName name="_____obl183" localSheetId="1">#REF!</definedName>
    <definedName name="_____obl1831" localSheetId="1">#REF!</definedName>
    <definedName name="_____obl1832" localSheetId="1">#REF!</definedName>
    <definedName name="_____obl184" localSheetId="1">#REF!</definedName>
    <definedName name="_____obl185" localSheetId="1">#REF!</definedName>
    <definedName name="_____obl186" localSheetId="1">#REF!</definedName>
    <definedName name="_____obl187" localSheetId="1">#REF!</definedName>
    <definedName name="____obl11" localSheetId="1">#REF!</definedName>
    <definedName name="____obl11" localSheetId="0">#REF!</definedName>
    <definedName name="____obl11">#REF!</definedName>
    <definedName name="____obl12" localSheetId="1">#REF!</definedName>
    <definedName name="____obl12" localSheetId="0">#REF!</definedName>
    <definedName name="____obl12">#REF!</definedName>
    <definedName name="____obl13" localSheetId="1">#REF!</definedName>
    <definedName name="____obl13" localSheetId="0">#REF!</definedName>
    <definedName name="____obl13">#REF!</definedName>
    <definedName name="____obl14" localSheetId="1">#REF!</definedName>
    <definedName name="____obl14" localSheetId="0">#REF!</definedName>
    <definedName name="____obl14">#REF!</definedName>
    <definedName name="____obl15" localSheetId="1">#REF!</definedName>
    <definedName name="____obl15" localSheetId="0">#REF!</definedName>
    <definedName name="____obl15">#REF!</definedName>
    <definedName name="____obl16" localSheetId="1">#REF!</definedName>
    <definedName name="____obl16" localSheetId="0">#REF!</definedName>
    <definedName name="____obl16">#REF!</definedName>
    <definedName name="____obl17" localSheetId="1">#REF!</definedName>
    <definedName name="____obl17" localSheetId="0">#REF!</definedName>
    <definedName name="____obl17">#REF!</definedName>
    <definedName name="____obl1710" localSheetId="1">#REF!</definedName>
    <definedName name="____obl1710" localSheetId="0">#REF!</definedName>
    <definedName name="____obl1710">#REF!</definedName>
    <definedName name="____obl1711" localSheetId="1">#REF!</definedName>
    <definedName name="____obl1711" localSheetId="0">#REF!</definedName>
    <definedName name="____obl1711">#REF!</definedName>
    <definedName name="____obl1712" localSheetId="1">#REF!</definedName>
    <definedName name="____obl1712" localSheetId="0">#REF!</definedName>
    <definedName name="____obl1712">#REF!</definedName>
    <definedName name="____obl1713" localSheetId="1">#REF!</definedName>
    <definedName name="____obl1713" localSheetId="0">#REF!</definedName>
    <definedName name="____obl1713">#REF!</definedName>
    <definedName name="____obl1714" localSheetId="1">#REF!</definedName>
    <definedName name="____obl1714" localSheetId="0">#REF!</definedName>
    <definedName name="____obl1714">#REF!</definedName>
    <definedName name="____obl1715" localSheetId="1">#REF!</definedName>
    <definedName name="____obl1715" localSheetId="0">#REF!</definedName>
    <definedName name="____obl1715">#REF!</definedName>
    <definedName name="____obl1716" localSheetId="1">#REF!</definedName>
    <definedName name="____obl1716" localSheetId="0">#REF!</definedName>
    <definedName name="____obl1716">#REF!</definedName>
    <definedName name="____obl1717" localSheetId="1">#REF!</definedName>
    <definedName name="____obl1717" localSheetId="0">#REF!</definedName>
    <definedName name="____obl1717">#REF!</definedName>
    <definedName name="____obl1718" localSheetId="1">#REF!</definedName>
    <definedName name="____obl1718" localSheetId="0">#REF!</definedName>
    <definedName name="____obl1718">#REF!</definedName>
    <definedName name="____obl1719" localSheetId="1">#REF!</definedName>
    <definedName name="____obl1719" localSheetId="0">#REF!</definedName>
    <definedName name="____obl1719">#REF!</definedName>
    <definedName name="____obl173" localSheetId="1">#REF!</definedName>
    <definedName name="____obl173" localSheetId="0">#REF!</definedName>
    <definedName name="____obl173">#REF!</definedName>
    <definedName name="____obl174" localSheetId="1">#REF!</definedName>
    <definedName name="____obl174" localSheetId="0">#REF!</definedName>
    <definedName name="____obl174">#REF!</definedName>
    <definedName name="____obl175" localSheetId="1">#REF!</definedName>
    <definedName name="____obl175" localSheetId="0">#REF!</definedName>
    <definedName name="____obl175">#REF!</definedName>
    <definedName name="____obl176" localSheetId="1">#REF!</definedName>
    <definedName name="____obl176" localSheetId="0">#REF!</definedName>
    <definedName name="____obl176">#REF!</definedName>
    <definedName name="____obl177" localSheetId="1">#REF!</definedName>
    <definedName name="____obl177" localSheetId="0">#REF!</definedName>
    <definedName name="____obl177">#REF!</definedName>
    <definedName name="____obl178" localSheetId="1">#REF!</definedName>
    <definedName name="____obl178" localSheetId="0">#REF!</definedName>
    <definedName name="____obl178">#REF!</definedName>
    <definedName name="____obl179" localSheetId="1">#REF!</definedName>
    <definedName name="____obl179" localSheetId="0">#REF!</definedName>
    <definedName name="____obl179">#REF!</definedName>
    <definedName name="____obl18" localSheetId="1">#REF!</definedName>
    <definedName name="____obl18" localSheetId="0">#REF!</definedName>
    <definedName name="____obl18">#REF!</definedName>
    <definedName name="____obl181" localSheetId="1">#REF!</definedName>
    <definedName name="____obl181" localSheetId="0">#REF!</definedName>
    <definedName name="____obl181">#REF!</definedName>
    <definedName name="____obl1816" localSheetId="1">#REF!</definedName>
    <definedName name="____obl1816" localSheetId="0">#REF!</definedName>
    <definedName name="____obl1816">#REF!</definedName>
    <definedName name="____obl1820" localSheetId="1">#REF!</definedName>
    <definedName name="____obl1820" localSheetId="0">#REF!</definedName>
    <definedName name="____obl1820">#REF!</definedName>
    <definedName name="____obl1821" localSheetId="1">#REF!</definedName>
    <definedName name="____obl1821" localSheetId="0">#REF!</definedName>
    <definedName name="____obl1821">#REF!</definedName>
    <definedName name="____obl1822" localSheetId="1">#REF!</definedName>
    <definedName name="____obl1822" localSheetId="0">#REF!</definedName>
    <definedName name="____obl1822">#REF!</definedName>
    <definedName name="____obl1823" localSheetId="1">#REF!</definedName>
    <definedName name="____obl1823" localSheetId="0">#REF!</definedName>
    <definedName name="____obl1823">#REF!</definedName>
    <definedName name="____obl1824" localSheetId="1">#REF!</definedName>
    <definedName name="____obl1824" localSheetId="0">#REF!</definedName>
    <definedName name="____obl1824">#REF!</definedName>
    <definedName name="____obl1825" localSheetId="1">#REF!</definedName>
    <definedName name="____obl1825" localSheetId="0">#REF!</definedName>
    <definedName name="____obl1825">#REF!</definedName>
    <definedName name="____obl1826" localSheetId="1">#REF!</definedName>
    <definedName name="____obl1826" localSheetId="0">#REF!</definedName>
    <definedName name="____obl1826">#REF!</definedName>
    <definedName name="____obl1827" localSheetId="1">#REF!</definedName>
    <definedName name="____obl1827" localSheetId="0">#REF!</definedName>
    <definedName name="____obl1827">#REF!</definedName>
    <definedName name="____obl1828" localSheetId="1">#REF!</definedName>
    <definedName name="____obl1828" localSheetId="0">#REF!</definedName>
    <definedName name="____obl1828">#REF!</definedName>
    <definedName name="____obl1829" localSheetId="1">#REF!</definedName>
    <definedName name="____obl1829" localSheetId="0">#REF!</definedName>
    <definedName name="____obl1829">#REF!</definedName>
    <definedName name="____obl183" localSheetId="1">#REF!</definedName>
    <definedName name="____obl183" localSheetId="0">#REF!</definedName>
    <definedName name="____obl183">#REF!</definedName>
    <definedName name="____obl1831" localSheetId="1">#REF!</definedName>
    <definedName name="____obl1831" localSheetId="0">#REF!</definedName>
    <definedName name="____obl1831">#REF!</definedName>
    <definedName name="____obl1832" localSheetId="1">#REF!</definedName>
    <definedName name="____obl1832" localSheetId="0">#REF!</definedName>
    <definedName name="____obl1832">#REF!</definedName>
    <definedName name="____obl184" localSheetId="1">#REF!</definedName>
    <definedName name="____obl184" localSheetId="0">#REF!</definedName>
    <definedName name="____obl184">#REF!</definedName>
    <definedName name="____obl185" localSheetId="1">#REF!</definedName>
    <definedName name="____obl185" localSheetId="0">#REF!</definedName>
    <definedName name="____obl185">#REF!</definedName>
    <definedName name="____obl186" localSheetId="1">#REF!</definedName>
    <definedName name="____obl186" localSheetId="0">#REF!</definedName>
    <definedName name="____obl186">#REF!</definedName>
    <definedName name="____obl187" localSheetId="1">#REF!</definedName>
    <definedName name="____obl187" localSheetId="0">#REF!</definedName>
    <definedName name="____obl187">#REF!</definedName>
    <definedName name="___obl11" localSheetId="1">#REF!</definedName>
    <definedName name="___obl11" localSheetId="0">#REF!</definedName>
    <definedName name="___obl11">#REF!</definedName>
    <definedName name="___obl12" localSheetId="1">#REF!</definedName>
    <definedName name="___obl12" localSheetId="0">#REF!</definedName>
    <definedName name="___obl12">#REF!</definedName>
    <definedName name="___obl13" localSheetId="1">#REF!</definedName>
    <definedName name="___obl13" localSheetId="0">#REF!</definedName>
    <definedName name="___obl13">#REF!</definedName>
    <definedName name="___obl14" localSheetId="1">#REF!</definedName>
    <definedName name="___obl14" localSheetId="0">#REF!</definedName>
    <definedName name="___obl14">#REF!</definedName>
    <definedName name="___obl15" localSheetId="1">#REF!</definedName>
    <definedName name="___obl15" localSheetId="0">#REF!</definedName>
    <definedName name="___obl15">#REF!</definedName>
    <definedName name="___obl16" localSheetId="1">#REF!</definedName>
    <definedName name="___obl16" localSheetId="0">#REF!</definedName>
    <definedName name="___obl16">#REF!</definedName>
    <definedName name="___obl17" localSheetId="1">#REF!</definedName>
    <definedName name="___obl17" localSheetId="0">#REF!</definedName>
    <definedName name="___obl17">#REF!</definedName>
    <definedName name="___obl1710" localSheetId="1">#REF!</definedName>
    <definedName name="___obl1710" localSheetId="0">#REF!</definedName>
    <definedName name="___obl1710">#REF!</definedName>
    <definedName name="___obl1711" localSheetId="1">#REF!</definedName>
    <definedName name="___obl1711" localSheetId="0">#REF!</definedName>
    <definedName name="___obl1711">#REF!</definedName>
    <definedName name="___obl1712" localSheetId="1">#REF!</definedName>
    <definedName name="___obl1712" localSheetId="0">#REF!</definedName>
    <definedName name="___obl1712">#REF!</definedName>
    <definedName name="___obl1713" localSheetId="1">#REF!</definedName>
    <definedName name="___obl1713" localSheetId="0">#REF!</definedName>
    <definedName name="___obl1713">#REF!</definedName>
    <definedName name="___obl1714" localSheetId="1">#REF!</definedName>
    <definedName name="___obl1714" localSheetId="0">#REF!</definedName>
    <definedName name="___obl1714">#REF!</definedName>
    <definedName name="___obl1715" localSheetId="1">#REF!</definedName>
    <definedName name="___obl1715" localSheetId="0">#REF!</definedName>
    <definedName name="___obl1715">#REF!</definedName>
    <definedName name="___obl1716" localSheetId="1">#REF!</definedName>
    <definedName name="___obl1716" localSheetId="0">#REF!</definedName>
    <definedName name="___obl1716">#REF!</definedName>
    <definedName name="___obl1717" localSheetId="1">#REF!</definedName>
    <definedName name="___obl1717" localSheetId="0">#REF!</definedName>
    <definedName name="___obl1717">#REF!</definedName>
    <definedName name="___obl1718" localSheetId="1">#REF!</definedName>
    <definedName name="___obl1718" localSheetId="0">#REF!</definedName>
    <definedName name="___obl1718">#REF!</definedName>
    <definedName name="___obl1719" localSheetId="1">#REF!</definedName>
    <definedName name="___obl1719" localSheetId="0">#REF!</definedName>
    <definedName name="___obl1719">#REF!</definedName>
    <definedName name="___obl173" localSheetId="1">#REF!</definedName>
    <definedName name="___obl173" localSheetId="0">#REF!</definedName>
    <definedName name="___obl173">#REF!</definedName>
    <definedName name="___obl174" localSheetId="1">#REF!</definedName>
    <definedName name="___obl174" localSheetId="0">#REF!</definedName>
    <definedName name="___obl174">#REF!</definedName>
    <definedName name="___obl175" localSheetId="1">#REF!</definedName>
    <definedName name="___obl175" localSheetId="0">#REF!</definedName>
    <definedName name="___obl175">#REF!</definedName>
    <definedName name="___obl176" localSheetId="1">#REF!</definedName>
    <definedName name="___obl176" localSheetId="0">#REF!</definedName>
    <definedName name="___obl176">#REF!</definedName>
    <definedName name="___obl177" localSheetId="1">#REF!</definedName>
    <definedName name="___obl177" localSheetId="0">#REF!</definedName>
    <definedName name="___obl177">#REF!</definedName>
    <definedName name="___obl178" localSheetId="1">#REF!</definedName>
    <definedName name="___obl178" localSheetId="0">#REF!</definedName>
    <definedName name="___obl178">#REF!</definedName>
    <definedName name="___obl179" localSheetId="1">#REF!</definedName>
    <definedName name="___obl179" localSheetId="0">#REF!</definedName>
    <definedName name="___obl179">#REF!</definedName>
    <definedName name="___obl18" localSheetId="1">#REF!</definedName>
    <definedName name="___obl18" localSheetId="0">#REF!</definedName>
    <definedName name="___obl18">#REF!</definedName>
    <definedName name="___obl181" localSheetId="1">#REF!</definedName>
    <definedName name="___obl181" localSheetId="0">#REF!</definedName>
    <definedName name="___obl181">#REF!</definedName>
    <definedName name="___obl1816" localSheetId="1">#REF!</definedName>
    <definedName name="___obl1816" localSheetId="0">#REF!</definedName>
    <definedName name="___obl1816">#REF!</definedName>
    <definedName name="___obl1820" localSheetId="1">#REF!</definedName>
    <definedName name="___obl1820" localSheetId="0">#REF!</definedName>
    <definedName name="___obl1820">#REF!</definedName>
    <definedName name="___obl1821" localSheetId="1">#REF!</definedName>
    <definedName name="___obl1821" localSheetId="0">#REF!</definedName>
    <definedName name="___obl1821">#REF!</definedName>
    <definedName name="___obl1822" localSheetId="1">#REF!</definedName>
    <definedName name="___obl1822" localSheetId="0">#REF!</definedName>
    <definedName name="___obl1822">#REF!</definedName>
    <definedName name="___obl1823" localSheetId="1">#REF!</definedName>
    <definedName name="___obl1823" localSheetId="0">#REF!</definedName>
    <definedName name="___obl1823">#REF!</definedName>
    <definedName name="___obl1824" localSheetId="1">#REF!</definedName>
    <definedName name="___obl1824" localSheetId="0">#REF!</definedName>
    <definedName name="___obl1824">#REF!</definedName>
    <definedName name="___obl1825" localSheetId="1">#REF!</definedName>
    <definedName name="___obl1825" localSheetId="0">#REF!</definedName>
    <definedName name="___obl1825">#REF!</definedName>
    <definedName name="___obl1826" localSheetId="1">#REF!</definedName>
    <definedName name="___obl1826" localSheetId="0">#REF!</definedName>
    <definedName name="___obl1826">#REF!</definedName>
    <definedName name="___obl1827" localSheetId="1">#REF!</definedName>
    <definedName name="___obl1827" localSheetId="0">#REF!</definedName>
    <definedName name="___obl1827">#REF!</definedName>
    <definedName name="___obl1828" localSheetId="1">#REF!</definedName>
    <definedName name="___obl1828" localSheetId="0">#REF!</definedName>
    <definedName name="___obl1828">#REF!</definedName>
    <definedName name="___obl1829" localSheetId="1">#REF!</definedName>
    <definedName name="___obl1829" localSheetId="0">#REF!</definedName>
    <definedName name="___obl1829">#REF!</definedName>
    <definedName name="___obl183" localSheetId="1">#REF!</definedName>
    <definedName name="___obl183" localSheetId="0">#REF!</definedName>
    <definedName name="___obl183">#REF!</definedName>
    <definedName name="___obl1831" localSheetId="1">#REF!</definedName>
    <definedName name="___obl1831" localSheetId="0">#REF!</definedName>
    <definedName name="___obl1831">#REF!</definedName>
    <definedName name="___obl1832" localSheetId="1">#REF!</definedName>
    <definedName name="___obl1832" localSheetId="0">#REF!</definedName>
    <definedName name="___obl1832">#REF!</definedName>
    <definedName name="___obl184" localSheetId="1">#REF!</definedName>
    <definedName name="___obl184" localSheetId="0">#REF!</definedName>
    <definedName name="___obl184">#REF!</definedName>
    <definedName name="___obl185" localSheetId="1">#REF!</definedName>
    <definedName name="___obl185" localSheetId="0">#REF!</definedName>
    <definedName name="___obl185">#REF!</definedName>
    <definedName name="___obl186" localSheetId="1">#REF!</definedName>
    <definedName name="___obl186" localSheetId="0">#REF!</definedName>
    <definedName name="___obl186">#REF!</definedName>
    <definedName name="___obl187" localSheetId="1">#REF!</definedName>
    <definedName name="___obl187" localSheetId="0">#REF!</definedName>
    <definedName name="___obl187">#REF!</definedName>
    <definedName name="__obl11" localSheetId="1">#REF!</definedName>
    <definedName name="__obl11" localSheetId="0">#REF!</definedName>
    <definedName name="__obl11">#REF!</definedName>
    <definedName name="__obl12" localSheetId="1">#REF!</definedName>
    <definedName name="__obl12" localSheetId="0">#REF!</definedName>
    <definedName name="__obl12">#REF!</definedName>
    <definedName name="__obl13" localSheetId="1">#REF!</definedName>
    <definedName name="__obl13" localSheetId="0">#REF!</definedName>
    <definedName name="__obl13">#REF!</definedName>
    <definedName name="__obl14" localSheetId="1">#REF!</definedName>
    <definedName name="__obl14" localSheetId="0">#REF!</definedName>
    <definedName name="__obl14">#REF!</definedName>
    <definedName name="__obl15" localSheetId="1">#REF!</definedName>
    <definedName name="__obl15" localSheetId="0">#REF!</definedName>
    <definedName name="__obl15">#REF!</definedName>
    <definedName name="__obl16" localSheetId="1">#REF!</definedName>
    <definedName name="__obl16" localSheetId="0">#REF!</definedName>
    <definedName name="__obl16">#REF!</definedName>
    <definedName name="__obl17" localSheetId="1">#REF!</definedName>
    <definedName name="__obl17" localSheetId="0">#REF!</definedName>
    <definedName name="__obl17">#REF!</definedName>
    <definedName name="__obl1710" localSheetId="1">#REF!</definedName>
    <definedName name="__obl1710" localSheetId="0">#REF!</definedName>
    <definedName name="__obl1710">#REF!</definedName>
    <definedName name="__obl1711" localSheetId="1">#REF!</definedName>
    <definedName name="__obl1711" localSheetId="0">#REF!</definedName>
    <definedName name="__obl1711">#REF!</definedName>
    <definedName name="__obl1712" localSheetId="1">#REF!</definedName>
    <definedName name="__obl1712" localSheetId="0">#REF!</definedName>
    <definedName name="__obl1712">#REF!</definedName>
    <definedName name="__obl1713" localSheetId="1">#REF!</definedName>
    <definedName name="__obl1713" localSheetId="0">#REF!</definedName>
    <definedName name="__obl1713">#REF!</definedName>
    <definedName name="__obl1714" localSheetId="1">#REF!</definedName>
    <definedName name="__obl1714" localSheetId="0">#REF!</definedName>
    <definedName name="__obl1714">#REF!</definedName>
    <definedName name="__obl1715" localSheetId="1">#REF!</definedName>
    <definedName name="__obl1715" localSheetId="0">#REF!</definedName>
    <definedName name="__obl1715">#REF!</definedName>
    <definedName name="__obl1716" localSheetId="1">#REF!</definedName>
    <definedName name="__obl1716" localSheetId="0">#REF!</definedName>
    <definedName name="__obl1716">#REF!</definedName>
    <definedName name="__obl1717" localSheetId="1">#REF!</definedName>
    <definedName name="__obl1717" localSheetId="0">#REF!</definedName>
    <definedName name="__obl1717">#REF!</definedName>
    <definedName name="__obl1718" localSheetId="1">#REF!</definedName>
    <definedName name="__obl1718" localSheetId="0">#REF!</definedName>
    <definedName name="__obl1718">#REF!</definedName>
    <definedName name="__obl1719" localSheetId="1">#REF!</definedName>
    <definedName name="__obl1719" localSheetId="0">#REF!</definedName>
    <definedName name="__obl1719">#REF!</definedName>
    <definedName name="__obl173" localSheetId="1">#REF!</definedName>
    <definedName name="__obl173" localSheetId="0">#REF!</definedName>
    <definedName name="__obl173">#REF!</definedName>
    <definedName name="__obl174" localSheetId="1">#REF!</definedName>
    <definedName name="__obl174" localSheetId="0">#REF!</definedName>
    <definedName name="__obl174">#REF!</definedName>
    <definedName name="__obl175" localSheetId="1">#REF!</definedName>
    <definedName name="__obl175" localSheetId="0">#REF!</definedName>
    <definedName name="__obl175">#REF!</definedName>
    <definedName name="__obl176" localSheetId="1">#REF!</definedName>
    <definedName name="__obl176" localSheetId="0">#REF!</definedName>
    <definedName name="__obl176">#REF!</definedName>
    <definedName name="__obl177" localSheetId="1">#REF!</definedName>
    <definedName name="__obl177" localSheetId="0">#REF!</definedName>
    <definedName name="__obl177">#REF!</definedName>
    <definedName name="__obl178" localSheetId="1">#REF!</definedName>
    <definedName name="__obl178" localSheetId="0">#REF!</definedName>
    <definedName name="__obl178">#REF!</definedName>
    <definedName name="__obl179" localSheetId="1">#REF!</definedName>
    <definedName name="__obl179" localSheetId="0">#REF!</definedName>
    <definedName name="__obl179">#REF!</definedName>
    <definedName name="__obl18" localSheetId="1">#REF!</definedName>
    <definedName name="__obl18" localSheetId="0">#REF!</definedName>
    <definedName name="__obl18">#REF!</definedName>
    <definedName name="__obl181" localSheetId="1">#REF!</definedName>
    <definedName name="__obl181" localSheetId="0">#REF!</definedName>
    <definedName name="__obl181">#REF!</definedName>
    <definedName name="__obl1816" localSheetId="1">#REF!</definedName>
    <definedName name="__obl1816" localSheetId="0">#REF!</definedName>
    <definedName name="__obl1816">#REF!</definedName>
    <definedName name="__obl1820" localSheetId="1">#REF!</definedName>
    <definedName name="__obl1820" localSheetId="0">#REF!</definedName>
    <definedName name="__obl1820">#REF!</definedName>
    <definedName name="__obl1821" localSheetId="1">#REF!</definedName>
    <definedName name="__obl1821" localSheetId="0">#REF!</definedName>
    <definedName name="__obl1821">#REF!</definedName>
    <definedName name="__obl1822" localSheetId="1">#REF!</definedName>
    <definedName name="__obl1822" localSheetId="0">#REF!</definedName>
    <definedName name="__obl1822">#REF!</definedName>
    <definedName name="__obl1823" localSheetId="1">#REF!</definedName>
    <definedName name="__obl1823" localSheetId="0">#REF!</definedName>
    <definedName name="__obl1823">#REF!</definedName>
    <definedName name="__obl1824" localSheetId="1">#REF!</definedName>
    <definedName name="__obl1824" localSheetId="0">#REF!</definedName>
    <definedName name="__obl1824">#REF!</definedName>
    <definedName name="__obl1825" localSheetId="1">#REF!</definedName>
    <definedName name="__obl1825" localSheetId="0">#REF!</definedName>
    <definedName name="__obl1825">#REF!</definedName>
    <definedName name="__obl1826" localSheetId="1">#REF!</definedName>
    <definedName name="__obl1826" localSheetId="0">#REF!</definedName>
    <definedName name="__obl1826">#REF!</definedName>
    <definedName name="__obl1827" localSheetId="1">#REF!</definedName>
    <definedName name="__obl1827" localSheetId="0">#REF!</definedName>
    <definedName name="__obl1827">#REF!</definedName>
    <definedName name="__obl1828" localSheetId="1">#REF!</definedName>
    <definedName name="__obl1828" localSheetId="0">#REF!</definedName>
    <definedName name="__obl1828">#REF!</definedName>
    <definedName name="__obl1829" localSheetId="1">#REF!</definedName>
    <definedName name="__obl1829" localSheetId="0">#REF!</definedName>
    <definedName name="__obl1829">#REF!</definedName>
    <definedName name="__obl183" localSheetId="1">#REF!</definedName>
    <definedName name="__obl183" localSheetId="0">#REF!</definedName>
    <definedName name="__obl183">#REF!</definedName>
    <definedName name="__obl1831" localSheetId="1">#REF!</definedName>
    <definedName name="__obl1831" localSheetId="0">#REF!</definedName>
    <definedName name="__obl1831">#REF!</definedName>
    <definedName name="__obl1832" localSheetId="1">#REF!</definedName>
    <definedName name="__obl1832" localSheetId="0">#REF!</definedName>
    <definedName name="__obl1832">#REF!</definedName>
    <definedName name="__obl184" localSheetId="1">#REF!</definedName>
    <definedName name="__obl184" localSheetId="0">#REF!</definedName>
    <definedName name="__obl184">#REF!</definedName>
    <definedName name="__obl185" localSheetId="1">#REF!</definedName>
    <definedName name="__obl185" localSheetId="0">#REF!</definedName>
    <definedName name="__obl185">#REF!</definedName>
    <definedName name="__obl186" localSheetId="1">#REF!</definedName>
    <definedName name="__obl186" localSheetId="0">#REF!</definedName>
    <definedName name="__obl186">#REF!</definedName>
    <definedName name="__obl187" localSheetId="1">#REF!</definedName>
    <definedName name="__obl187" localSheetId="0">#REF!</definedName>
    <definedName name="__obl187">#REF!</definedName>
    <definedName name="_obl11" localSheetId="1">#REF!</definedName>
    <definedName name="_obl11" localSheetId="0">#REF!</definedName>
    <definedName name="_obl11">#REF!</definedName>
    <definedName name="_obl12" localSheetId="1">#REF!</definedName>
    <definedName name="_obl12" localSheetId="0">#REF!</definedName>
    <definedName name="_obl12">#REF!</definedName>
    <definedName name="_obl13" localSheetId="1">#REF!</definedName>
    <definedName name="_obl13" localSheetId="0">#REF!</definedName>
    <definedName name="_obl13">#REF!</definedName>
    <definedName name="_obl14" localSheetId="1">#REF!</definedName>
    <definedName name="_obl14" localSheetId="0">#REF!</definedName>
    <definedName name="_obl14">#REF!</definedName>
    <definedName name="_obl15" localSheetId="1">#REF!</definedName>
    <definedName name="_obl15" localSheetId="0">#REF!</definedName>
    <definedName name="_obl15">#REF!</definedName>
    <definedName name="_obl16" localSheetId="1">#REF!</definedName>
    <definedName name="_obl16" localSheetId="0">#REF!</definedName>
    <definedName name="_obl16">#REF!</definedName>
    <definedName name="_obl17" localSheetId="1">#REF!</definedName>
    <definedName name="_obl17" localSheetId="0">#REF!</definedName>
    <definedName name="_obl17">#REF!</definedName>
    <definedName name="_obl1710" localSheetId="1">#REF!</definedName>
    <definedName name="_obl1710" localSheetId="0">#REF!</definedName>
    <definedName name="_obl1710">#REF!</definedName>
    <definedName name="_obl1711" localSheetId="1">#REF!</definedName>
    <definedName name="_obl1711" localSheetId="0">#REF!</definedName>
    <definedName name="_obl1711">#REF!</definedName>
    <definedName name="_obl1712" localSheetId="1">#REF!</definedName>
    <definedName name="_obl1712" localSheetId="0">#REF!</definedName>
    <definedName name="_obl1712">#REF!</definedName>
    <definedName name="_obl1713" localSheetId="1">#REF!</definedName>
    <definedName name="_obl1713" localSheetId="0">#REF!</definedName>
    <definedName name="_obl1713">#REF!</definedName>
    <definedName name="_obl1714" localSheetId="1">#REF!</definedName>
    <definedName name="_obl1714" localSheetId="0">#REF!</definedName>
    <definedName name="_obl1714">#REF!</definedName>
    <definedName name="_obl1715" localSheetId="1">#REF!</definedName>
    <definedName name="_obl1715" localSheetId="0">#REF!</definedName>
    <definedName name="_obl1715">#REF!</definedName>
    <definedName name="_obl1716" localSheetId="1">#REF!</definedName>
    <definedName name="_obl1716" localSheetId="0">#REF!</definedName>
    <definedName name="_obl1716">#REF!</definedName>
    <definedName name="_obl1717" localSheetId="1">#REF!</definedName>
    <definedName name="_obl1717" localSheetId="0">#REF!</definedName>
    <definedName name="_obl1717">#REF!</definedName>
    <definedName name="_obl1718" localSheetId="1">#REF!</definedName>
    <definedName name="_obl1718" localSheetId="0">#REF!</definedName>
    <definedName name="_obl1718">#REF!</definedName>
    <definedName name="_obl1719" localSheetId="1">#REF!</definedName>
    <definedName name="_obl1719" localSheetId="0">#REF!</definedName>
    <definedName name="_obl1719">#REF!</definedName>
    <definedName name="_obl173" localSheetId="1">#REF!</definedName>
    <definedName name="_obl173" localSheetId="0">#REF!</definedName>
    <definedName name="_obl173">#REF!</definedName>
    <definedName name="_obl174" localSheetId="1">#REF!</definedName>
    <definedName name="_obl174" localSheetId="0">#REF!</definedName>
    <definedName name="_obl174">#REF!</definedName>
    <definedName name="_obl175" localSheetId="1">#REF!</definedName>
    <definedName name="_obl175" localSheetId="0">#REF!</definedName>
    <definedName name="_obl175">#REF!</definedName>
    <definedName name="_obl176" localSheetId="1">#REF!</definedName>
    <definedName name="_obl176" localSheetId="0">#REF!</definedName>
    <definedName name="_obl176">#REF!</definedName>
    <definedName name="_obl177" localSheetId="1">#REF!</definedName>
    <definedName name="_obl177" localSheetId="0">#REF!</definedName>
    <definedName name="_obl177">#REF!</definedName>
    <definedName name="_obl178" localSheetId="1">#REF!</definedName>
    <definedName name="_obl178" localSheetId="0">#REF!</definedName>
    <definedName name="_obl178">#REF!</definedName>
    <definedName name="_obl179" localSheetId="1">#REF!</definedName>
    <definedName name="_obl179" localSheetId="0">#REF!</definedName>
    <definedName name="_obl179">#REF!</definedName>
    <definedName name="_obl18" localSheetId="1">#REF!</definedName>
    <definedName name="_obl18" localSheetId="0">#REF!</definedName>
    <definedName name="_obl18">#REF!</definedName>
    <definedName name="_obl181" localSheetId="1">#REF!</definedName>
    <definedName name="_obl181" localSheetId="0">#REF!</definedName>
    <definedName name="_obl181">#REF!</definedName>
    <definedName name="_obl1816" localSheetId="1">#REF!</definedName>
    <definedName name="_obl1816" localSheetId="0">#REF!</definedName>
    <definedName name="_obl1816">#REF!</definedName>
    <definedName name="_obl1820" localSheetId="1">#REF!</definedName>
    <definedName name="_obl1820" localSheetId="0">#REF!</definedName>
    <definedName name="_obl1820">#REF!</definedName>
    <definedName name="_obl1821" localSheetId="1">#REF!</definedName>
    <definedName name="_obl1821" localSheetId="0">#REF!</definedName>
    <definedName name="_obl1821">#REF!</definedName>
    <definedName name="_obl1822" localSheetId="1">#REF!</definedName>
    <definedName name="_obl1822" localSheetId="0">#REF!</definedName>
    <definedName name="_obl1822">#REF!</definedName>
    <definedName name="_obl1823" localSheetId="1">#REF!</definedName>
    <definedName name="_obl1823" localSheetId="0">#REF!</definedName>
    <definedName name="_obl1823">#REF!</definedName>
    <definedName name="_obl1824" localSheetId="1">#REF!</definedName>
    <definedName name="_obl1824" localSheetId="0">#REF!</definedName>
    <definedName name="_obl1824">#REF!</definedName>
    <definedName name="_obl1825" localSheetId="1">#REF!</definedName>
    <definedName name="_obl1825" localSheetId="0">#REF!</definedName>
    <definedName name="_obl1825">#REF!</definedName>
    <definedName name="_obl1826" localSheetId="1">#REF!</definedName>
    <definedName name="_obl1826" localSheetId="0">#REF!</definedName>
    <definedName name="_obl1826">#REF!</definedName>
    <definedName name="_obl1827" localSheetId="1">#REF!</definedName>
    <definedName name="_obl1827" localSheetId="0">#REF!</definedName>
    <definedName name="_obl1827">#REF!</definedName>
    <definedName name="_obl1828" localSheetId="1">#REF!</definedName>
    <definedName name="_obl1828" localSheetId="0">#REF!</definedName>
    <definedName name="_obl1828">#REF!</definedName>
    <definedName name="_obl1829" localSheetId="1">#REF!</definedName>
    <definedName name="_obl1829" localSheetId="0">#REF!</definedName>
    <definedName name="_obl1829">#REF!</definedName>
    <definedName name="_obl183" localSheetId="1">#REF!</definedName>
    <definedName name="_obl183" localSheetId="0">#REF!</definedName>
    <definedName name="_obl183">#REF!</definedName>
    <definedName name="_obl1831" localSheetId="1">#REF!</definedName>
    <definedName name="_obl1831" localSheetId="0">#REF!</definedName>
    <definedName name="_obl1831">#REF!</definedName>
    <definedName name="_obl1832" localSheetId="1">#REF!</definedName>
    <definedName name="_obl1832" localSheetId="0">#REF!</definedName>
    <definedName name="_obl1832">#REF!</definedName>
    <definedName name="_obl184" localSheetId="1">#REF!</definedName>
    <definedName name="_obl184" localSheetId="0">#REF!</definedName>
    <definedName name="_obl184">#REF!</definedName>
    <definedName name="_obl185" localSheetId="1">#REF!</definedName>
    <definedName name="_obl185" localSheetId="0">#REF!</definedName>
    <definedName name="_obl185">#REF!</definedName>
    <definedName name="_obl186" localSheetId="1">#REF!</definedName>
    <definedName name="_obl186" localSheetId="0">#REF!</definedName>
    <definedName name="_obl186">#REF!</definedName>
    <definedName name="_obl187" localSheetId="1">#REF!</definedName>
    <definedName name="_obl187" localSheetId="0">#REF!</definedName>
    <definedName name="_obl187">#REF!</definedName>
    <definedName name="_SO16" localSheetId="1" hidden="1">{#N/A,#N/A,TRUE,"Krycí list"}</definedName>
    <definedName name="_SO16" localSheetId="0" hidden="1">{#N/A,#N/A,TRUE,"Krycí list"}</definedName>
    <definedName name="_SO16" hidden="1">{#N/A,#N/A,TRUE,"Krycí list"}</definedName>
    <definedName name="_VZT1" localSheetId="1">Scheduled_Payment+Extra_Payment</definedName>
    <definedName name="_VZT1" localSheetId="0">Scheduled_Payment+Extra_Payment</definedName>
    <definedName name="_VZT1">Scheduled_Payment+Extra_Payment</definedName>
    <definedName name="_VZT2" localSheetId="1">DATE(YEAR([1]!Loan_Start),MONTH([1]!Loan_Start)+Payment_Number,DAY([1]!Loan_Start))</definedName>
    <definedName name="_VZT2" localSheetId="0">DATE(YEAR([1]!Loan_Start),MONTH([1]!Loan_Start)+Payment_Number,DAY([1]!Loan_Start))</definedName>
    <definedName name="_VZT2">DATE(YEAR([2]!Loan_Start),MONTH([2]!Loan_Start)+Payment_Number,DAY([2]!Loan_Start))</definedName>
    <definedName name="_vzt3" localSheetId="1">'[3]Rekapitulace roz.  vč. kapitol'!#REF!</definedName>
    <definedName name="_vzt3" localSheetId="0">'[3]Rekapitulace roz.  vč. kapitol'!#REF!</definedName>
    <definedName name="_vzt3">'[3]Rekapitulace roz.  vč. kapitol'!#REF!</definedName>
    <definedName name="_VZT5" localSheetId="1">'[3]Rekapitulace roz.  vč. kapitol'!#REF!</definedName>
    <definedName name="_VZT5" localSheetId="0">'[3]Rekapitulace roz.  vč. kapitol'!#REF!</definedName>
    <definedName name="_VZT5">'[3]Rekapitulace roz.  vč. kapitol'!#REF!</definedName>
    <definedName name="_VZT6" localSheetId="1">'[3]Rekapitulace roz.  vč. kapitol'!#REF!</definedName>
    <definedName name="_VZT6" localSheetId="0">'[3]Rekapitulace roz.  vč. kapitol'!#REF!</definedName>
    <definedName name="_VZT6">'[3]Rekapitulace roz.  vč. kapitol'!#REF!</definedName>
    <definedName name="_VZT8" localSheetId="1">'[3]Rekapitulace roz.  vč. kapitol'!#REF!</definedName>
    <definedName name="_VZT8" localSheetId="0">'[3]Rekapitulace roz.  vč. kapitol'!#REF!</definedName>
    <definedName name="_VZT8">'[3]Rekapitulace roz.  vč. kapitol'!#REF!</definedName>
    <definedName name="a" localSheetId="1">'[4]F.1.4.5. ZZTI'!#REF!</definedName>
    <definedName name="a" localSheetId="0">'[4]F.1.4.5. ZZTI'!#REF!</definedName>
    <definedName name="a">'[4]F.1.4.5. ZZTI'!#REF!</definedName>
    <definedName name="aaaaaaaa" localSheetId="1" hidden="1">{#N/A,#N/A,TRUE,"Krycí list"}</definedName>
    <definedName name="aaaaaaaa" localSheetId="0" hidden="1">{#N/A,#N/A,TRUE,"Krycí list"}</definedName>
    <definedName name="aaaaaaaa" hidden="1">{#N/A,#N/A,TRUE,"Krycí list"}</definedName>
    <definedName name="Beg_Bal" localSheetId="1">#REF!</definedName>
    <definedName name="Beg_Bal" localSheetId="0">#REF!</definedName>
    <definedName name="Beg_Bal">#REF!</definedName>
    <definedName name="bghrerr" localSheetId="1">#REF!</definedName>
    <definedName name="bghrerr" localSheetId="0">#REF!</definedName>
    <definedName name="bghrerr">#REF!</definedName>
    <definedName name="bhvfdgvf" localSheetId="1">#REF!</definedName>
    <definedName name="bhvfdgvf" localSheetId="0">#REF!</definedName>
    <definedName name="bhvfdgvf">#REF!</definedName>
    <definedName name="body_celkem" localSheetId="1">'[3]Rekapitulace roz.  vč. kapitol'!#REF!</definedName>
    <definedName name="body_celkem" localSheetId="0">'[3]Rekapitulace roz.  vč. kapitol'!#REF!</definedName>
    <definedName name="body_celkem">'[3]Rekapitulace roz.  vč. kapitol'!#REF!</definedName>
    <definedName name="body_kapitoly" localSheetId="1">'[3]Rekapitulace roz.  vč. kapitol'!#REF!</definedName>
    <definedName name="body_kapitoly" localSheetId="0">'[3]Rekapitulace roz.  vč. kapitol'!#REF!</definedName>
    <definedName name="body_kapitoly">'[3]Rekapitulace roz.  vč. kapitol'!#REF!</definedName>
    <definedName name="body_pomocny" localSheetId="1">'[3]Rekapitulace roz.  vč. kapitol'!#REF!</definedName>
    <definedName name="body_pomocny" localSheetId="0">'[3]Rekapitulace roz.  vč. kapitol'!#REF!</definedName>
    <definedName name="body_pomocny">'[3]Rekapitulace roz.  vč. kapitol'!#REF!</definedName>
    <definedName name="body_rozpocty" localSheetId="1">'[3]Rekapitulace roz.  vč. kapitol'!#REF!</definedName>
    <definedName name="body_rozpocty" localSheetId="0">'[3]Rekapitulace roz.  vč. kapitol'!#REF!</definedName>
    <definedName name="body_rozpocty">'[3]Rekapitulace roz.  vč. kapitol'!#REF!</definedName>
    <definedName name="category1" localSheetId="1">#REF!</definedName>
    <definedName name="category1" localSheetId="0">#REF!</definedName>
    <definedName name="category1">#REF!</definedName>
    <definedName name="celkrozp" localSheetId="1">#REF!</definedName>
    <definedName name="celkrozp" localSheetId="0">#REF!</definedName>
    <definedName name="celkrozp">#REF!</definedName>
    <definedName name="cisloobjektu" localSheetId="1">#REF!</definedName>
    <definedName name="cisloobjektu" localSheetId="0">#REF!</definedName>
    <definedName name="cisloobjektu">#REF!</definedName>
    <definedName name="cislostavby" localSheetId="1">#REF!</definedName>
    <definedName name="cislostavby" localSheetId="0">#REF!</definedName>
    <definedName name="cislostavby">#REF!</definedName>
    <definedName name="d" localSheetId="1" hidden="1">{#N/A,#N/A,TRUE,"Krycí list"}</definedName>
    <definedName name="d" localSheetId="0" hidden="1">{#N/A,#N/A,TRUE,"Krycí list"}</definedName>
    <definedName name="d" hidden="1">{#N/A,#N/A,TRUE,"Krycí list"}</definedName>
    <definedName name="Data" localSheetId="1">#REF!</definedName>
    <definedName name="Data" localSheetId="0">#REF!</definedName>
    <definedName name="Data">#REF!</definedName>
    <definedName name="Datum" localSheetId="1">#REF!</definedName>
    <definedName name="Datum" localSheetId="0">#REF!</definedName>
    <definedName name="Datum">#REF!</definedName>
    <definedName name="dfdaf" localSheetId="1">#REF!</definedName>
    <definedName name="dfdaf" localSheetId="0">#REF!</definedName>
    <definedName name="dfdaf">#REF!</definedName>
    <definedName name="Dil" localSheetId="1">#REF!</definedName>
    <definedName name="Dil" localSheetId="0">#REF!</definedName>
    <definedName name="Dil">#REF!</definedName>
    <definedName name="DKGJSDGS" localSheetId="1">#REF!</definedName>
    <definedName name="DKGJSDGS" localSheetId="0">#REF!</definedName>
    <definedName name="DKGJSDGS">#REF!</definedName>
    <definedName name="dod" localSheetId="1">'[4]F.1.4.5. ZZTI'!#REF!</definedName>
    <definedName name="dod" localSheetId="0">'[4]F.1.4.5. ZZTI'!#REF!</definedName>
    <definedName name="dod">'[4]F.1.4.5. ZZTI'!#REF!</definedName>
    <definedName name="Dodavka" localSheetId="1">#REF!</definedName>
    <definedName name="Dodavka" localSheetId="0">#REF!</definedName>
    <definedName name="Dodavka">#REF!</definedName>
    <definedName name="Dodavka0" localSheetId="1">#REF!</definedName>
    <definedName name="Dodavka0" localSheetId="0">#REF!</definedName>
    <definedName name="Dodavka0">#REF!</definedName>
    <definedName name="dsfbhbg" localSheetId="1">#REF!</definedName>
    <definedName name="dsfbhbg" localSheetId="0">#REF!</definedName>
    <definedName name="dsfbhbg">#REF!</definedName>
    <definedName name="End_Bal" localSheetId="1">#REF!</definedName>
    <definedName name="End_Bal" localSheetId="0">#REF!</definedName>
    <definedName name="End_Bal">#REF!</definedName>
    <definedName name="exter1" localSheetId="1">#REF!</definedName>
    <definedName name="exter1" localSheetId="0">#REF!</definedName>
    <definedName name="exter1">#REF!</definedName>
    <definedName name="Extra_Pay" localSheetId="1">#REF!</definedName>
    <definedName name="Extra_Pay" localSheetId="0">#REF!</definedName>
    <definedName name="Extra_Pay">#REF!</definedName>
    <definedName name="f" localSheetId="1">#REF!</definedName>
    <definedName name="f" localSheetId="0">#REF!</definedName>
    <definedName name="f">#REF!</definedName>
    <definedName name="Full_Print" localSheetId="1">#REF!</definedName>
    <definedName name="Full_Print" localSheetId="0">#REF!</definedName>
    <definedName name="Full_Print">#REF!</definedName>
    <definedName name="H" localSheetId="1">'[3]Rekapitulace roz.  vč. kapitol'!#REF!</definedName>
    <definedName name="H" localSheetId="0">'[3]Rekapitulace roz.  vč. kapitol'!#REF!</definedName>
    <definedName name="H">'[3]Rekapitulace roz.  vč. kapitol'!#REF!</definedName>
    <definedName name="ha" localSheetId="1">'[4]F.1.4.5. ZZTI'!#REF!</definedName>
    <definedName name="ha" localSheetId="0">'[4]F.1.4.5. ZZTI'!#REF!</definedName>
    <definedName name="ha">'[4]F.1.4.5. ZZTI'!#REF!</definedName>
    <definedName name="Header_Row" localSheetId="1">ROW(#REF!)</definedName>
    <definedName name="Header_Row" localSheetId="0">ROW(#REF!)</definedName>
    <definedName name="Header_Row">ROW(#REF!)</definedName>
    <definedName name="hovno" localSheetId="1">#REF!</definedName>
    <definedName name="hovno" localSheetId="0">#REF!</definedName>
    <definedName name="hovno">#REF!</definedName>
    <definedName name="hs" localSheetId="1">#REF!</definedName>
    <definedName name="hs" localSheetId="0">#REF!</definedName>
    <definedName name="hs">#REF!</definedName>
    <definedName name="HSV" localSheetId="1">#REF!</definedName>
    <definedName name="HSV" localSheetId="0">#REF!</definedName>
    <definedName name="HSV">#REF!</definedName>
    <definedName name="HSV0" localSheetId="1">#REF!</definedName>
    <definedName name="HSV0" localSheetId="0">#REF!</definedName>
    <definedName name="HSV0">#REF!</definedName>
    <definedName name="HZS" localSheetId="1">#REF!</definedName>
    <definedName name="HZS" localSheetId="0">#REF!</definedName>
    <definedName name="HZS">#REF!</definedName>
    <definedName name="HZS0" localSheetId="1">#REF!</definedName>
    <definedName name="HZS0" localSheetId="0">#REF!</definedName>
    <definedName name="HZS0">#REF!</definedName>
    <definedName name="Int" localSheetId="1">#REF!</definedName>
    <definedName name="Int" localSheetId="0">#REF!</definedName>
    <definedName name="Int">#REF!</definedName>
    <definedName name="inter1" localSheetId="1">#REF!</definedName>
    <definedName name="inter1" localSheetId="0">#REF!</definedName>
    <definedName name="inter1">#REF!</definedName>
    <definedName name="Interest_Rate" localSheetId="1">#REF!</definedName>
    <definedName name="Interest_Rate" localSheetId="0">#REF!</definedName>
    <definedName name="Interest_Rate">#REF!</definedName>
    <definedName name="JKSO" localSheetId="1">#REF!</definedName>
    <definedName name="JKSO" localSheetId="0">#REF!</definedName>
    <definedName name="JKSO">#REF!</definedName>
    <definedName name="jzzuggt" localSheetId="1">#REF!</definedName>
    <definedName name="jzzuggt" localSheetId="0">#REF!</definedName>
    <definedName name="jzzuggt">#REF!</definedName>
    <definedName name="Last_Row" localSheetId="1">IF('NOVÝ STAV'!Values_Entered,'NOVÝ STAV'!Header_Row+'NOVÝ STAV'!Number_of_Payments,'NOVÝ STAV'!Header_Row)</definedName>
    <definedName name="Last_Row" localSheetId="0">IF('Rekapitulace - 3. NP-C'!Values_Entered,'Rekapitulace - 3. NP-C'!Header_Row+'Rekapitulace - 3. NP-C'!Number_of_Payments,'Rekapitulace - 3. NP-C'!Header_Row)</definedName>
    <definedName name="Last_Row">IF(Values_Entered,Header_Row+Number_of_Payments,Header_Row)</definedName>
    <definedName name="Light" localSheetId="1" hidden="1">{#N/A,#N/A,TRUE,"Krycí list"}</definedName>
    <definedName name="Light" localSheetId="0" hidden="1">{#N/A,#N/A,TRUE,"Krycí list"}</definedName>
    <definedName name="Light" hidden="1">{#N/A,#N/A,TRUE,"Krycí list"}</definedName>
    <definedName name="Lighting" localSheetId="1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1">#REF!</definedName>
    <definedName name="Loan_Amount" localSheetId="0">#REF!</definedName>
    <definedName name="Loan_Amount">#REF!</definedName>
    <definedName name="Loan_Start" localSheetId="1">#REF!</definedName>
    <definedName name="Loan_Start" localSheetId="0">#REF!</definedName>
    <definedName name="Loan_Start">#REF!</definedName>
    <definedName name="Loan_Years" localSheetId="1">#REF!</definedName>
    <definedName name="Loan_Years" localSheetId="0">#REF!</definedName>
    <definedName name="Loan_Years">#REF!</definedName>
    <definedName name="MaR" localSheetId="1" hidden="1">{#N/A,#N/A,TRUE,"Krycí list"}</definedName>
    <definedName name="MaR" localSheetId="0" hidden="1">{#N/A,#N/A,TRUE,"Krycí list"}</definedName>
    <definedName name="MaR" hidden="1">{#N/A,#N/A,TRUE,"Krycí list"}</definedName>
    <definedName name="meraregulace" localSheetId="1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1">Scheduled_Payment+Extra_Payment</definedName>
    <definedName name="mereni" localSheetId="0">Scheduled_Payment+Extra_Payment</definedName>
    <definedName name="mereni">Scheduled_Payment+Extra_Payment</definedName>
    <definedName name="MJ" localSheetId="1">#REF!</definedName>
    <definedName name="MJ" localSheetId="0">#REF!</definedName>
    <definedName name="MJ">#REF!</definedName>
    <definedName name="Mont" localSheetId="1">#REF!</definedName>
    <definedName name="Mont" localSheetId="0">#REF!</definedName>
    <definedName name="Mont">#REF!</definedName>
    <definedName name="Montaz0" localSheetId="1">#REF!</definedName>
    <definedName name="Montaz0" localSheetId="0">#REF!</definedName>
    <definedName name="Montaz0">#REF!</definedName>
    <definedName name="mts" localSheetId="1">#REF!</definedName>
    <definedName name="mts" localSheetId="0">#REF!</definedName>
    <definedName name="mts">#REF!</definedName>
    <definedName name="n" localSheetId="1">Scheduled_Payment+Extra_Payment</definedName>
    <definedName name="n" localSheetId="0">Scheduled_Payment+Extra_Payment</definedName>
    <definedName name="n">Scheduled_Payment+Extra_Payment</definedName>
    <definedName name="NazevDilu" localSheetId="1">#REF!</definedName>
    <definedName name="NazevDilu" localSheetId="0">#REF!</definedName>
    <definedName name="NazevDilu">#REF!</definedName>
    <definedName name="nazevobjektu" localSheetId="1">#REF!</definedName>
    <definedName name="nazevobjektu" localSheetId="0">#REF!</definedName>
    <definedName name="nazevobjektu">#REF!</definedName>
    <definedName name="nazevstavby" localSheetId="1">#REF!</definedName>
    <definedName name="nazevstavby" localSheetId="0">#REF!</definedName>
    <definedName name="nazevstavby">#REF!</definedName>
    <definedName name="Num_Pmt_Per_Year" localSheetId="1">#REF!</definedName>
    <definedName name="Num_Pmt_Per_Year" localSheetId="0">#REF!</definedName>
    <definedName name="Num_Pmt_Per_Year">#REF!</definedName>
    <definedName name="Number_of_Payments" localSheetId="1">MATCH(0.01,'NOVÝ STAV'!End_Bal,-1)+1</definedName>
    <definedName name="Number_of_Payments" localSheetId="0">MATCH(0.01,'Rekapitulace - 3. NP-C'!End_Bal,-1)+1</definedName>
    <definedName name="Number_of_Payments">MATCH(0.01,End_Bal,-1)+1</definedName>
    <definedName name="obch_sleva" localSheetId="1">#REF!</definedName>
    <definedName name="obch_sleva" localSheetId="0">#REF!</definedName>
    <definedName name="obch_sleva">#REF!</definedName>
    <definedName name="Objednatel" localSheetId="1">#REF!</definedName>
    <definedName name="Objednatel" localSheetId="0">#REF!</definedName>
    <definedName name="Objednatel">#REF!</definedName>
    <definedName name="_xlnm.Print_Area" localSheetId="1">'NOVÝ STAV'!$A$1:$I$534</definedName>
    <definedName name="_xlnm.Print_Area" localSheetId="0">'Rekapitulace - 3. NP-C'!$A$1:$C$23</definedName>
    <definedName name="op" localSheetId="1">#REF!</definedName>
    <definedName name="op" localSheetId="0">#REF!</definedName>
    <definedName name="op">#REF!</definedName>
    <definedName name="Outside" localSheetId="1" hidden="1">{#N/A,#N/A,TRUE,"Krycí list"}</definedName>
    <definedName name="Outside" localSheetId="0" hidden="1">{#N/A,#N/A,TRUE,"Krycí list"}</definedName>
    <definedName name="Outside" hidden="1">{#N/A,#N/A,TRUE,"Krycí list"}</definedName>
    <definedName name="Pay_Date" localSheetId="1">#REF!</definedName>
    <definedName name="Pay_Date" localSheetId="0">#REF!</definedName>
    <definedName name="Pay_Date">#REF!</definedName>
    <definedName name="Pay_Num" localSheetId="1">#REF!</definedName>
    <definedName name="Pay_Num" localSheetId="0">#REF!</definedName>
    <definedName name="Pay_Num">#REF!</definedName>
    <definedName name="Payment_Date" localSheetId="1">DATE(YEAR('NOVÝ STAV'!Loan_Start),MONTH('NOVÝ STAV'!Loan_Start)+Payment_Number,DAY('NOVÝ STAV'!Loan_Start))</definedName>
    <definedName name="Payment_Date" localSheetId="0">DATE(YEAR('Rekapitulace - 3. NP-C'!Loan_Start),MONTH('Rekapitulace - 3. NP-C'!Loan_Start)+Payment_Number,DAY('Rekapitulace - 3. NP-C'!Loan_Start))</definedName>
    <definedName name="Payment_Date">DATE(YEAR(Loan_Start),MONTH(Loan_Start)+Payment_Number,DAY(Loan_Start))</definedName>
    <definedName name="PocetMJ" localSheetId="1">#REF!</definedName>
    <definedName name="PocetMJ" localSheetId="0">#REF!</definedName>
    <definedName name="PocetMJ">#REF!</definedName>
    <definedName name="pokusAAAA" localSheetId="1">#REF!</definedName>
    <definedName name="pokusAAAA" localSheetId="0">#REF!</definedName>
    <definedName name="pokusAAAA">#REF!</definedName>
    <definedName name="pokusadres" localSheetId="1">#REF!</definedName>
    <definedName name="pokusadres" localSheetId="0">#REF!</definedName>
    <definedName name="pokusadres">#REF!</definedName>
    <definedName name="položka_A1" localSheetId="1">#REF!</definedName>
    <definedName name="položka_A1" localSheetId="0">#REF!</definedName>
    <definedName name="položka_A1">#REF!</definedName>
    <definedName name="položky" localSheetId="1">#REF!</definedName>
    <definedName name="položky" localSheetId="0">#REF!</definedName>
    <definedName name="položky">#REF!</definedName>
    <definedName name="pom_výp_zač" localSheetId="1">#REF!</definedName>
    <definedName name="pom_výp_zač" localSheetId="0">#REF!</definedName>
    <definedName name="pom_výp_zač">#REF!</definedName>
    <definedName name="pom_výpočty" localSheetId="1">#REF!</definedName>
    <definedName name="pom_výpočty" localSheetId="0">#REF!</definedName>
    <definedName name="pom_výpočty">#REF!</definedName>
    <definedName name="powersock" localSheetId="1" hidden="1">{#N/A,#N/A,TRUE,"Krycí list"}</definedName>
    <definedName name="powersock" localSheetId="0" hidden="1">{#N/A,#N/A,TRUE,"Krycí list"}</definedName>
    <definedName name="powersock" hidden="1">{#N/A,#N/A,TRUE,"Krycí list"}</definedName>
    <definedName name="PowerSocket" localSheetId="1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1">#REF!</definedName>
    <definedName name="Poznamka" localSheetId="0">#REF!</definedName>
    <definedName name="Poznamka">#REF!</definedName>
    <definedName name="poznámka" localSheetId="1">#REF!</definedName>
    <definedName name="poznámka" localSheetId="0">#REF!</definedName>
    <definedName name="poznámka">#REF!</definedName>
    <definedName name="prep_schem" localSheetId="1">#REF!</definedName>
    <definedName name="prep_schem" localSheetId="0">#REF!</definedName>
    <definedName name="prep_schem">#REF!</definedName>
    <definedName name="Princ" localSheetId="1">#REF!</definedName>
    <definedName name="Princ" localSheetId="0">#REF!</definedName>
    <definedName name="Princ">#REF!</definedName>
    <definedName name="Print_Area" localSheetId="1">'NOVÝ STAV'!$A$1:$I$533</definedName>
    <definedName name="Print_Area" localSheetId="0">'Rekapitulace - 3. NP-C'!$A$1:$C$23</definedName>
    <definedName name="Print_Area_Reset" localSheetId="1">OFFSET('NOVÝ STAV'!Full_Print,0,0,'NOVÝ STAV'!Last_Row)</definedName>
    <definedName name="Print_Area_Reset" localSheetId="0">OFFSET('Rekapitulace - 3. NP-C'!Full_Print,0,0,'Rekapitulace - 3. NP-C'!Last_Row)</definedName>
    <definedName name="Print_Area_Reset">OFFSET(Full_Print,0,0,Last_Row)</definedName>
    <definedName name="Projektant" localSheetId="1">#REF!</definedName>
    <definedName name="Projektant" localSheetId="0">#REF!</definedName>
    <definedName name="Projektant">#REF!</definedName>
    <definedName name="PSV" localSheetId="1">#REF!</definedName>
    <definedName name="PSV" localSheetId="0">#REF!</definedName>
    <definedName name="PSV">#REF!</definedName>
    <definedName name="PSV0" localSheetId="1">#REF!</definedName>
    <definedName name="PSV0" localSheetId="0">#REF!</definedName>
    <definedName name="PSV0">#REF!</definedName>
    <definedName name="QQ" localSheetId="1" hidden="1">{#N/A,#N/A,TRUE,"Krycí list"}</definedName>
    <definedName name="QQ" localSheetId="0" hidden="1">{#N/A,#N/A,TRUE,"Krycí list"}</definedName>
    <definedName name="QQ" hidden="1">{#N/A,#N/A,TRUE,"Krycí list"}</definedName>
    <definedName name="QQQ" localSheetId="1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1">#REF!</definedName>
    <definedName name="rekapitulace" localSheetId="0">#REF!</definedName>
    <definedName name="rekapitulace">#REF!</definedName>
    <definedName name="rozp" localSheetId="1" hidden="1">{#N/A,#N/A,TRUE,"Krycí list"}</definedName>
    <definedName name="rozp" localSheetId="0" hidden="1">{#N/A,#N/A,TRUE,"Krycí list"}</definedName>
    <definedName name="rozp" hidden="1">{#N/A,#N/A,TRUE,"Krycí list"}</definedName>
    <definedName name="rozvržení_rozp" localSheetId="1">#REF!</definedName>
    <definedName name="rozvržení_rozp" localSheetId="0">#REF!</definedName>
    <definedName name="rozvržení_rozp">#REF!</definedName>
    <definedName name="saboproud" localSheetId="1" hidden="1">{#N/A,#N/A,TRUE,"Krycí list"}</definedName>
    <definedName name="saboproud" localSheetId="0" hidden="1">{#N/A,#N/A,TRUE,"Krycí list"}</definedName>
    <definedName name="saboproud" hidden="1">{#N/A,#N/A,TRUE,"Krycí list"}</definedName>
    <definedName name="SazbaDPH1" localSheetId="1">#REF!</definedName>
    <definedName name="SazbaDPH1" localSheetId="0">#REF!</definedName>
    <definedName name="SazbaDPH1">#REF!</definedName>
    <definedName name="SazbaDPH2" localSheetId="1">#REF!</definedName>
    <definedName name="SazbaDPH2" localSheetId="0">#REF!</definedName>
    <definedName name="SazbaDPH2">#REF!</definedName>
    <definedName name="Sched_Pay" localSheetId="1">#REF!</definedName>
    <definedName name="Sched_Pay" localSheetId="0">#REF!</definedName>
    <definedName name="Sched_Pay">#REF!</definedName>
    <definedName name="Scheduled_Extra_Payments" localSheetId="1">#REF!</definedName>
    <definedName name="Scheduled_Extra_Payments" localSheetId="0">#REF!</definedName>
    <definedName name="Scheduled_Extra_Payments">#REF!</definedName>
    <definedName name="Scheduled_Interest_Rate" localSheetId="1">#REF!</definedName>
    <definedName name="Scheduled_Interest_Rate" localSheetId="0">#REF!</definedName>
    <definedName name="Scheduled_Interest_Rate">#REF!</definedName>
    <definedName name="Scheduled_Monthly_Payment" localSheetId="1">#REF!</definedName>
    <definedName name="Scheduled_Monthly_Payment" localSheetId="0">#REF!</definedName>
    <definedName name="Scheduled_Monthly_Payment">#REF!</definedName>
    <definedName name="SloupecCC" localSheetId="1">#REF!</definedName>
    <definedName name="SloupecCC" localSheetId="0">#REF!</definedName>
    <definedName name="SloupecCC">#REF!</definedName>
    <definedName name="SloupecCisloPol" localSheetId="1">#REF!</definedName>
    <definedName name="SloupecCisloPol" localSheetId="0">#REF!</definedName>
    <definedName name="SloupecCisloPol">#REF!</definedName>
    <definedName name="SloupecJC" localSheetId="1">#REF!</definedName>
    <definedName name="SloupecJC" localSheetId="0">#REF!</definedName>
    <definedName name="SloupecJC">#REF!</definedName>
    <definedName name="SloupecMJ" localSheetId="1">#REF!</definedName>
    <definedName name="SloupecMJ" localSheetId="0">#REF!</definedName>
    <definedName name="SloupecMJ">#REF!</definedName>
    <definedName name="SloupecMnozstvi" localSheetId="1">#REF!</definedName>
    <definedName name="SloupecMnozstvi" localSheetId="0">#REF!</definedName>
    <definedName name="SloupecMnozstvi">#REF!</definedName>
    <definedName name="SloupecNazPol" localSheetId="1">#REF!</definedName>
    <definedName name="SloupecNazPol" localSheetId="0">#REF!</definedName>
    <definedName name="SloupecNazPol">#REF!</definedName>
    <definedName name="SloupecPC" localSheetId="1">#REF!</definedName>
    <definedName name="SloupecPC" localSheetId="0">#REF!</definedName>
    <definedName name="SloupecPC">#REF!</definedName>
    <definedName name="soupis" localSheetId="1" hidden="1">{#N/A,#N/A,TRUE,"Krycí list"}</definedName>
    <definedName name="soupis" localSheetId="0" hidden="1">{#N/A,#N/A,TRUE,"Krycí list"}</definedName>
    <definedName name="soupis" hidden="1">{#N/A,#N/A,TRUE,"Krycí list"}</definedName>
    <definedName name="ssss" localSheetId="1">#REF!</definedName>
    <definedName name="ssss" localSheetId="0">#REF!</definedName>
    <definedName name="ssss">#REF!</definedName>
    <definedName name="subslevy" localSheetId="1">#REF!</definedName>
    <definedName name="subslevy" localSheetId="0">#REF!</definedName>
    <definedName name="subslevy">#REF!</definedName>
    <definedName name="sum_kapitoly" localSheetId="1">'[3]Rekapitulace roz.  vč. kapitol'!#REF!</definedName>
    <definedName name="sum_kapitoly" localSheetId="0">'[3]Rekapitulace roz.  vč. kapitol'!#REF!</definedName>
    <definedName name="sum_kapitoly">'[3]Rekapitulace roz.  vč. kapitol'!#REF!</definedName>
    <definedName name="summary" localSheetId="1" hidden="1">{#N/A,#N/A,TRUE,"Krycí list"}</definedName>
    <definedName name="summary" localSheetId="0" hidden="1">{#N/A,#N/A,TRUE,"Krycí list"}</definedName>
    <definedName name="summary" hidden="1">{#N/A,#N/A,TRUE,"Krycí list"}</definedName>
    <definedName name="sumpok" localSheetId="1">#REF!</definedName>
    <definedName name="sumpok" localSheetId="0">#REF!</definedName>
    <definedName name="sumpok">#REF!</definedName>
    <definedName name="Switchboard" localSheetId="1" hidden="1">{#N/A,#N/A,TRUE,"Krycí list"}</definedName>
    <definedName name="Switchboard" localSheetId="0" hidden="1">{#N/A,#N/A,TRUE,"Krycí list"}</definedName>
    <definedName name="Switchboard" hidden="1">{#N/A,#N/A,TRUE,"Krycí list"}</definedName>
    <definedName name="tab" localSheetId="1">#REF!</definedName>
    <definedName name="tab" localSheetId="0">#REF!</definedName>
    <definedName name="tab">#REF!</definedName>
    <definedName name="Total_Interest" localSheetId="1">#REF!</definedName>
    <definedName name="Total_Interest" localSheetId="0">#REF!</definedName>
    <definedName name="Total_Interest">#REF!</definedName>
    <definedName name="Total_Pay" localSheetId="1">#REF!</definedName>
    <definedName name="Total_Pay" localSheetId="0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yp" localSheetId="1">#REF!</definedName>
    <definedName name="Typ" localSheetId="0">#REF!</definedName>
    <definedName name="Typ">#REF!</definedName>
    <definedName name="v" localSheetId="1">'[3]Rekapitulace roz.  vč. kapitol'!#REF!</definedName>
    <definedName name="v" localSheetId="0">'[3]Rekapitulace roz.  vč. kapitol'!#REF!</definedName>
    <definedName name="v">'[3]Rekapitulace roz.  vč. kapitol'!#REF!</definedName>
    <definedName name="Values_Entered" localSheetId="1">IF('NOVÝ STAV'!Loan_Amount*'NOVÝ STAV'!Interest_Rate*'NOVÝ STAV'!Loan_Years*'NOVÝ STAV'!Loan_Start&gt;0,1,0)</definedName>
    <definedName name="Values_Entered" localSheetId="0">IF('Rekapitulace - 3. NP-C'!Loan_Amount*'Rekapitulace - 3. NP-C'!Interest_Rate*'Rekapitulace - 3. NP-C'!Loan_Years*'Rekapitulace - 3. NP-C'!Loan_Start&gt;0,1,0)</definedName>
    <definedName name="Values_Entered">IF(Loan_Amount*Interest_Rate*Loan_Years*Loan_Start&gt;0,1,0)</definedName>
    <definedName name="VIZA" localSheetId="1" hidden="1">{#N/A,#N/A,TRUE,"Krycí list"}</definedName>
    <definedName name="VIZA" localSheetId="0" hidden="1">{#N/A,#N/A,TRUE,"Krycí list"}</definedName>
    <definedName name="VIZA" hidden="1">{#N/A,#N/A,TRUE,"Krycí list"}</definedName>
    <definedName name="VIZA12" localSheetId="1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1">#REF!</definedName>
    <definedName name="VRN" localSheetId="0">#REF!</definedName>
    <definedName name="VRN">#REF!</definedName>
    <definedName name="VRNKc" localSheetId="1">#REF!</definedName>
    <definedName name="VRNKc" localSheetId="0">#REF!</definedName>
    <definedName name="VRNKc">#REF!</definedName>
    <definedName name="VRNnazev" localSheetId="1">#REF!</definedName>
    <definedName name="VRNnazev" localSheetId="0">#REF!</definedName>
    <definedName name="VRNnazev">#REF!</definedName>
    <definedName name="VRNproc" localSheetId="1">#REF!</definedName>
    <definedName name="VRNproc" localSheetId="0">#REF!</definedName>
    <definedName name="VRNproc">#REF!</definedName>
    <definedName name="VRNzakl" localSheetId="1">#REF!</definedName>
    <definedName name="VRNzakl" localSheetId="0">#REF!</definedName>
    <definedName name="VRNzakl">#REF!</definedName>
    <definedName name="výpočty" localSheetId="1">#REF!</definedName>
    <definedName name="výpočty" localSheetId="0">#REF!</definedName>
    <definedName name="výpočty">#REF!</definedName>
    <definedName name="vystup" localSheetId="1">#REF!</definedName>
    <definedName name="vystup" localSheetId="0">#REF!</definedName>
    <definedName name="vystup">#REF!</definedName>
    <definedName name="vzduchna" localSheetId="1" hidden="1">{#N/A,#N/A,TRUE,"Krycí list"}</definedName>
    <definedName name="vzduchna" localSheetId="0" hidden="1">{#N/A,#N/A,TRUE,"Krycí list"}</definedName>
    <definedName name="vzduchna" hidden="1">{#N/A,#N/A,TRUE,"Krycí list"}</definedName>
    <definedName name="Weak" localSheetId="1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1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1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" localSheetId="1">#REF!</definedName>
    <definedName name="Z" localSheetId="0">#REF!</definedName>
    <definedName name="Z">#REF!</definedName>
    <definedName name="zahrnsazby" localSheetId="1">#REF!</definedName>
    <definedName name="zahrnsazby" localSheetId="0">#REF!</definedName>
    <definedName name="zahrnsazby">#REF!</definedName>
    <definedName name="zahrnslevy" localSheetId="1">#REF!</definedName>
    <definedName name="zahrnslevy" localSheetId="0">#REF!</definedName>
    <definedName name="zahrnslevy">#REF!</definedName>
    <definedName name="Zakazka" localSheetId="1">#REF!</definedName>
    <definedName name="Zakazka" localSheetId="0">#REF!</definedName>
    <definedName name="Zakazka">#REF!</definedName>
    <definedName name="Zaklad22" localSheetId="1">#REF!</definedName>
    <definedName name="Zaklad22" localSheetId="0">#REF!</definedName>
    <definedName name="Zaklad22">#REF!</definedName>
    <definedName name="Zaklad5" localSheetId="1">#REF!</definedName>
    <definedName name="Zaklad5" localSheetId="0">#REF!</definedName>
    <definedName name="Zaklad5">#REF!</definedName>
    <definedName name="Zhotovitel" localSheetId="1">#REF!</definedName>
    <definedName name="Zhotovitel" localSheetId="0">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1" i="47" l="1"/>
  <c r="H231" i="47" s="1"/>
  <c r="F226" i="47" l="1"/>
  <c r="H226" i="47" s="1"/>
  <c r="F221" i="47"/>
  <c r="H221" i="47" s="1"/>
  <c r="F89" i="47" l="1"/>
  <c r="H89" i="47" s="1"/>
  <c r="F117" i="47" l="1"/>
  <c r="H117" i="47" s="1"/>
  <c r="F522" i="47"/>
  <c r="H522" i="47" s="1"/>
  <c r="F516" i="47"/>
  <c r="H516" i="47" s="1"/>
  <c r="F510" i="47"/>
  <c r="H510" i="47" s="1"/>
  <c r="F505" i="47"/>
  <c r="H505" i="47" s="1"/>
  <c r="H504" i="47"/>
  <c r="F500" i="47"/>
  <c r="H500" i="47" s="1"/>
  <c r="F496" i="47"/>
  <c r="H496" i="47" s="1"/>
  <c r="F495" i="47"/>
  <c r="F494" i="47" s="1"/>
  <c r="H494" i="47" s="1"/>
  <c r="F493" i="47"/>
  <c r="F492" i="47"/>
  <c r="F491" i="47"/>
  <c r="F490" i="47"/>
  <c r="F489" i="47"/>
  <c r="F485" i="47"/>
  <c r="F482" i="47" s="1"/>
  <c r="H482" i="47" s="1"/>
  <c r="F481" i="47"/>
  <c r="F478" i="47" s="1"/>
  <c r="H478" i="47" s="1"/>
  <c r="F477" i="47"/>
  <c r="F476" i="47"/>
  <c r="F473" i="47"/>
  <c r="F471" i="47"/>
  <c r="F465" i="47"/>
  <c r="H465" i="47" s="1"/>
  <c r="F461" i="47"/>
  <c r="H461" i="47" s="1"/>
  <c r="F460" i="47"/>
  <c r="F459" i="47"/>
  <c r="F453" i="47"/>
  <c r="H453" i="47" s="1"/>
  <c r="F452" i="47"/>
  <c r="F451" i="47"/>
  <c r="F450" i="47"/>
  <c r="F446" i="47"/>
  <c r="F445" i="47"/>
  <c r="F444" i="47"/>
  <c r="F442" i="47"/>
  <c r="F440" i="47"/>
  <c r="F439" i="47"/>
  <c r="F438" i="47"/>
  <c r="F436" i="47"/>
  <c r="F435" i="47"/>
  <c r="F434" i="47"/>
  <c r="F433" i="47"/>
  <c r="F432" i="47"/>
  <c r="F425" i="47"/>
  <c r="H425" i="47" s="1"/>
  <c r="H424" i="47"/>
  <c r="F423" i="47"/>
  <c r="F422" i="47"/>
  <c r="F418" i="47"/>
  <c r="F417" i="47"/>
  <c r="F416" i="47"/>
  <c r="H414" i="47"/>
  <c r="H411" i="47"/>
  <c r="F404" i="47"/>
  <c r="F402" i="47"/>
  <c r="F400" i="47"/>
  <c r="F399" i="47"/>
  <c r="F397" i="47"/>
  <c r="F396" i="47"/>
  <c r="F395" i="47"/>
  <c r="F394" i="47"/>
  <c r="F393" i="47"/>
  <c r="H391" i="47"/>
  <c r="H388" i="47"/>
  <c r="F380" i="47"/>
  <c r="F379" i="47"/>
  <c r="F378" i="47"/>
  <c r="F373" i="47"/>
  <c r="F364" i="47" s="1"/>
  <c r="H372" i="47"/>
  <c r="H370" i="47"/>
  <c r="H368" i="47"/>
  <c r="F361" i="47"/>
  <c r="F351" i="47" s="1"/>
  <c r="H360" i="47"/>
  <c r="H359" i="47"/>
  <c r="H356" i="47"/>
  <c r="H355" i="47"/>
  <c r="F348" i="47"/>
  <c r="F347" i="47"/>
  <c r="H346" i="47"/>
  <c r="H345" i="47"/>
  <c r="F338" i="47"/>
  <c r="F329" i="47" s="1"/>
  <c r="H337" i="47"/>
  <c r="H335" i="47"/>
  <c r="H333" i="47"/>
  <c r="F326" i="47"/>
  <c r="F316" i="47" s="1"/>
  <c r="F319" i="47" s="1"/>
  <c r="H319" i="47" s="1"/>
  <c r="H325" i="47"/>
  <c r="H324" i="47"/>
  <c r="H321" i="47"/>
  <c r="H320" i="47"/>
  <c r="F313" i="47"/>
  <c r="F312" i="47"/>
  <c r="H311" i="47"/>
  <c r="H310" i="47"/>
  <c r="F303" i="47"/>
  <c r="F293" i="47" s="1"/>
  <c r="H302" i="47"/>
  <c r="H301" i="47"/>
  <c r="H298" i="47"/>
  <c r="H297" i="47"/>
  <c r="F290" i="47"/>
  <c r="F289" i="47"/>
  <c r="F288" i="47"/>
  <c r="H287" i="47"/>
  <c r="H286" i="47"/>
  <c r="F278" i="47"/>
  <c r="H278" i="47" s="1"/>
  <c r="H277" i="47"/>
  <c r="F276" i="47"/>
  <c r="F275" i="47" s="1"/>
  <c r="H275" i="47" s="1"/>
  <c r="F271" i="47"/>
  <c r="H271" i="47" s="1"/>
  <c r="F270" i="47"/>
  <c r="F269" i="47" s="1"/>
  <c r="H269" i="47" s="1"/>
  <c r="F268" i="47"/>
  <c r="F267" i="47" s="1"/>
  <c r="H267" i="47" s="1"/>
  <c r="F265" i="47"/>
  <c r="F264" i="47" s="1"/>
  <c r="H264" i="47" s="1"/>
  <c r="F262" i="47"/>
  <c r="F260" i="47" s="1"/>
  <c r="H260" i="47" s="1"/>
  <c r="F258" i="47"/>
  <c r="F256" i="47" s="1"/>
  <c r="H256" i="47" s="1"/>
  <c r="F255" i="47"/>
  <c r="F254" i="47" s="1"/>
  <c r="H254" i="47" s="1"/>
  <c r="F253" i="47"/>
  <c r="F252" i="47"/>
  <c r="F250" i="47"/>
  <c r="F248" i="47" s="1"/>
  <c r="H248" i="47" s="1"/>
  <c r="F246" i="47"/>
  <c r="F245" i="47"/>
  <c r="F242" i="47"/>
  <c r="F241" i="47" s="1"/>
  <c r="H241" i="47" s="1"/>
  <c r="F240" i="47"/>
  <c r="F239" i="47" s="1"/>
  <c r="H239" i="47" s="1"/>
  <c r="F237" i="47"/>
  <c r="F235" i="47" s="1"/>
  <c r="H235" i="47" s="1"/>
  <c r="F220" i="47"/>
  <c r="F219" i="47" s="1"/>
  <c r="H219" i="47" s="1"/>
  <c r="F218" i="47"/>
  <c r="F217" i="47"/>
  <c r="F215" i="47"/>
  <c r="F214" i="47" s="1"/>
  <c r="H214" i="47" s="1"/>
  <c r="F213" i="47"/>
  <c r="F212" i="47"/>
  <c r="F208" i="47"/>
  <c r="F206" i="47" s="1"/>
  <c r="H206" i="47" s="1"/>
  <c r="F203" i="47"/>
  <c r="F201" i="47" s="1"/>
  <c r="H201" i="47" s="1"/>
  <c r="F199" i="47"/>
  <c r="F197" i="47" s="1"/>
  <c r="H197" i="47" s="1"/>
  <c r="F195" i="47"/>
  <c r="F193" i="47" s="1"/>
  <c r="H193" i="47" s="1"/>
  <c r="F189" i="47"/>
  <c r="H189" i="47" s="1"/>
  <c r="H188" i="47"/>
  <c r="F187" i="47"/>
  <c r="F186" i="47"/>
  <c r="F181" i="47"/>
  <c r="F179" i="47" s="1"/>
  <c r="H179" i="47" s="1"/>
  <c r="F176" i="47"/>
  <c r="F174" i="47" s="1"/>
  <c r="H174" i="47" s="1"/>
  <c r="F170" i="47"/>
  <c r="H170" i="47" s="1"/>
  <c r="H169" i="47"/>
  <c r="F167" i="47"/>
  <c r="F165" i="47" s="1"/>
  <c r="H165" i="47" s="1"/>
  <c r="F161" i="47"/>
  <c r="H161" i="47" s="1"/>
  <c r="H160" i="47"/>
  <c r="F153" i="47"/>
  <c r="F156" i="47" s="1"/>
  <c r="H156" i="47" s="1"/>
  <c r="F147" i="47"/>
  <c r="H147" i="47" s="1"/>
  <c r="F144" i="47"/>
  <c r="F143" i="47" s="1"/>
  <c r="H143" i="47" s="1"/>
  <c r="F142" i="47"/>
  <c r="F140" i="47" s="1"/>
  <c r="H140" i="47" s="1"/>
  <c r="F139" i="47"/>
  <c r="F137" i="47" s="1"/>
  <c r="H137" i="47" s="1"/>
  <c r="F135" i="47"/>
  <c r="F134" i="47" s="1"/>
  <c r="H134" i="47" s="1"/>
  <c r="F132" i="47"/>
  <c r="F131" i="47"/>
  <c r="F129" i="47"/>
  <c r="F128" i="47" s="1"/>
  <c r="H128" i="47" s="1"/>
  <c r="F127" i="47"/>
  <c r="F126" i="47"/>
  <c r="F123" i="47"/>
  <c r="F121" i="47" s="1"/>
  <c r="H121" i="47" s="1"/>
  <c r="F115" i="47"/>
  <c r="F113" i="47" s="1"/>
  <c r="H113" i="47" s="1"/>
  <c r="F111" i="47"/>
  <c r="F110" i="47"/>
  <c r="F109" i="47"/>
  <c r="F105" i="47"/>
  <c r="F104" i="47"/>
  <c r="F103" i="47"/>
  <c r="F95" i="47"/>
  <c r="H95" i="47" s="1"/>
  <c r="F86" i="47"/>
  <c r="F85" i="47"/>
  <c r="F81" i="47"/>
  <c r="F79" i="47" s="1"/>
  <c r="H79" i="47" s="1"/>
  <c r="F76" i="47"/>
  <c r="F75" i="47"/>
  <c r="F74" i="47"/>
  <c r="F69" i="47"/>
  <c r="F68" i="47"/>
  <c r="F67" i="47"/>
  <c r="F66" i="47"/>
  <c r="F65" i="47"/>
  <c r="F59" i="47"/>
  <c r="F58" i="47"/>
  <c r="F57" i="47"/>
  <c r="F56" i="47"/>
  <c r="F55" i="47"/>
  <c r="F51" i="47"/>
  <c r="F49" i="47" s="1"/>
  <c r="H49" i="47" s="1"/>
  <c r="F47" i="47"/>
  <c r="F46" i="47"/>
  <c r="F41" i="47"/>
  <c r="F39" i="47" s="1"/>
  <c r="H39" i="47" s="1"/>
  <c r="F37" i="47"/>
  <c r="F36" i="47"/>
  <c r="F35" i="47"/>
  <c r="F34" i="47"/>
  <c r="F33" i="47"/>
  <c r="F32" i="47"/>
  <c r="F27" i="47"/>
  <c r="F26" i="47"/>
  <c r="F25" i="47"/>
  <c r="F24" i="47"/>
  <c r="F23" i="47"/>
  <c r="F22" i="47"/>
  <c r="F14" i="47"/>
  <c r="H14" i="47" s="1"/>
  <c r="F12" i="47"/>
  <c r="F11" i="47" s="1"/>
  <c r="H11" i="47" s="1"/>
  <c r="F421" i="47" l="1"/>
  <c r="H421" i="47" s="1"/>
  <c r="F469" i="47"/>
  <c r="H469" i="47" s="1"/>
  <c r="H164" i="47"/>
  <c r="C15" i="34" s="1"/>
  <c r="F282" i="47"/>
  <c r="F285" i="47" s="1"/>
  <c r="H285" i="47" s="1"/>
  <c r="G282" i="47" s="1"/>
  <c r="H282" i="47" s="1"/>
  <c r="F306" i="47"/>
  <c r="F309" i="47" s="1"/>
  <c r="H309" i="47" s="1"/>
  <c r="G306" i="47" s="1"/>
  <c r="H306" i="47" s="1"/>
  <c r="H10" i="47"/>
  <c r="C10" i="34" s="1"/>
  <c r="F83" i="47"/>
  <c r="H83" i="47" s="1"/>
  <c r="F154" i="47"/>
  <c r="H154" i="47" s="1"/>
  <c r="F184" i="47"/>
  <c r="H184" i="47" s="1"/>
  <c r="H173" i="47" s="1"/>
  <c r="C16" i="34" s="1"/>
  <c r="F44" i="47"/>
  <c r="H44" i="47" s="1"/>
  <c r="F407" i="47"/>
  <c r="F410" i="47" s="1"/>
  <c r="H410" i="47" s="1"/>
  <c r="F211" i="47"/>
  <c r="H211" i="47" s="1"/>
  <c r="F458" i="47"/>
  <c r="H458" i="47" s="1"/>
  <c r="F52" i="47"/>
  <c r="H52" i="47" s="1"/>
  <c r="F448" i="47"/>
  <c r="H448" i="47" s="1"/>
  <c r="F124" i="47"/>
  <c r="H124" i="47" s="1"/>
  <c r="F243" i="47"/>
  <c r="H243" i="47" s="1"/>
  <c r="H499" i="47"/>
  <c r="C20" i="34" s="1"/>
  <c r="F62" i="47"/>
  <c r="H62" i="47" s="1"/>
  <c r="F152" i="47"/>
  <c r="F155" i="47" s="1"/>
  <c r="F157" i="47" s="1"/>
  <c r="H157" i="47" s="1"/>
  <c r="F216" i="47"/>
  <c r="H216" i="47" s="1"/>
  <c r="F443" i="47"/>
  <c r="H443" i="47" s="1"/>
  <c r="F251" i="47"/>
  <c r="H251" i="47" s="1"/>
  <c r="F130" i="47"/>
  <c r="H130" i="47" s="1"/>
  <c r="H509" i="47"/>
  <c r="F30" i="47"/>
  <c r="H30" i="47" s="1"/>
  <c r="F107" i="47"/>
  <c r="H107" i="47" s="1"/>
  <c r="F341" i="47"/>
  <c r="F486" i="47"/>
  <c r="H486" i="47" s="1"/>
  <c r="F72" i="47"/>
  <c r="H72" i="47" s="1"/>
  <c r="F384" i="47"/>
  <c r="F390" i="47" s="1"/>
  <c r="H390" i="47" s="1"/>
  <c r="F20" i="47"/>
  <c r="H20" i="47" s="1"/>
  <c r="F101" i="47"/>
  <c r="H101" i="47" s="1"/>
  <c r="F376" i="47"/>
  <c r="H376" i="47" s="1"/>
  <c r="F474" i="47"/>
  <c r="H474" i="47" s="1"/>
  <c r="F367" i="47"/>
  <c r="H367" i="47" s="1"/>
  <c r="F371" i="47"/>
  <c r="H371" i="47" s="1"/>
  <c r="H159" i="47"/>
  <c r="C13" i="34" s="1"/>
  <c r="F336" i="47"/>
  <c r="H336" i="47" s="1"/>
  <c r="F332" i="47"/>
  <c r="H332" i="47" s="1"/>
  <c r="F300" i="47"/>
  <c r="H300" i="47" s="1"/>
  <c r="F296" i="47"/>
  <c r="H296" i="47" s="1"/>
  <c r="F358" i="47"/>
  <c r="H358" i="47" s="1"/>
  <c r="F354" i="47"/>
  <c r="H354" i="47" s="1"/>
  <c r="F429" i="47"/>
  <c r="H429" i="47" s="1"/>
  <c r="F323" i="47"/>
  <c r="H323" i="47" s="1"/>
  <c r="G316" i="47" s="1"/>
  <c r="H316" i="47" s="1"/>
  <c r="H19" i="47" l="1"/>
  <c r="H428" i="47"/>
  <c r="C19" i="34" s="1"/>
  <c r="F387" i="47"/>
  <c r="H387" i="47" s="1"/>
  <c r="G384" i="47" s="1"/>
  <c r="H384" i="47" s="1"/>
  <c r="F413" i="47"/>
  <c r="H413" i="47" s="1"/>
  <c r="G407" i="47" s="1"/>
  <c r="H407" i="47" s="1"/>
  <c r="F382" i="47"/>
  <c r="H382" i="47" s="1"/>
  <c r="F383" i="47"/>
  <c r="H383" i="47" s="1"/>
  <c r="H155" i="47"/>
  <c r="G152" i="47" s="1"/>
  <c r="H152" i="47" s="1"/>
  <c r="H100" i="47" s="1"/>
  <c r="C12" i="34" s="1"/>
  <c r="G293" i="47"/>
  <c r="H293" i="47" s="1"/>
  <c r="G329" i="47"/>
  <c r="H329" i="47" s="1"/>
  <c r="G364" i="47"/>
  <c r="H364" i="47" s="1"/>
  <c r="H508" i="47"/>
  <c r="C22" i="34"/>
  <c r="G351" i="47"/>
  <c r="H351" i="47" s="1"/>
  <c r="H192" i="47"/>
  <c r="C17" i="34" s="1"/>
  <c r="F344" i="47"/>
  <c r="H344" i="47" s="1"/>
  <c r="G341" i="47" s="1"/>
  <c r="H341" i="47" s="1"/>
  <c r="H281" i="47" l="1"/>
  <c r="C18" i="34" s="1"/>
  <c r="C14" i="34" s="1"/>
  <c r="H9" i="47"/>
  <c r="C11" i="34"/>
  <c r="H163" i="47" l="1"/>
  <c r="H525" i="47" s="1"/>
  <c r="H527" i="47" s="1"/>
  <c r="C21" i="34" l="1"/>
  <c r="C9" i="34" l="1"/>
  <c r="C23" i="34" l="1"/>
</calcChain>
</file>

<file path=xl/sharedStrings.xml><?xml version="1.0" encoding="utf-8"?>
<sst xmlns="http://schemas.openxmlformats.org/spreadsheetml/2006/main" count="1011" uniqueCount="587">
  <si>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</si>
  <si>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</si>
  <si>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</si>
  <si>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</si>
  <si>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</si>
  <si>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</si>
  <si>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</si>
  <si>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</si>
  <si>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</si>
  <si>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</si>
  <si>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</si>
  <si>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</si>
  <si>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</si>
  <si>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</si>
  <si>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</si>
  <si>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</si>
  <si>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HSV</t>
  </si>
  <si>
    <t>Práce a dodávky HSV</t>
  </si>
  <si>
    <t>Celkem</t>
  </si>
  <si>
    <t>CELKEM</t>
  </si>
  <si>
    <t>m2</t>
  </si>
  <si>
    <t>PSV</t>
  </si>
  <si>
    <t>Práce a dodávky PSV</t>
  </si>
  <si>
    <t>sada</t>
  </si>
  <si>
    <t>Ostatní konstrukce a práce-bourání</t>
  </si>
  <si>
    <t>Úpravy povrchu, podlahy, osazení</t>
  </si>
  <si>
    <t>Kód</t>
  </si>
  <si>
    <t>Konstrukce suché výstavby</t>
  </si>
  <si>
    <t>013</t>
  </si>
  <si>
    <t>Poznámka:</t>
  </si>
  <si>
    <t>9</t>
  </si>
  <si>
    <t>hod</t>
  </si>
  <si>
    <t>m</t>
  </si>
  <si>
    <t>t</t>
  </si>
  <si>
    <t>011</t>
  </si>
  <si>
    <t>763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</si>
  <si>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</si>
  <si>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</si>
  <si>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</si>
  <si>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</si>
  <si>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003</t>
  </si>
  <si>
    <t>Lešení pomocné pro objekty pozemních staveb s lešeňovou podlahou v do 1,9 m zatížení do 150 kg/m2</t>
  </si>
  <si>
    <t>" V ceně náklady na dopravu, montáž, demontáž a opotřebení lešení "</t>
  </si>
  <si>
    <t>99</t>
  </si>
  <si>
    <t>Přesun hmot</t>
  </si>
  <si>
    <t>HZS</t>
  </si>
  <si>
    <t>HZS1291</t>
  </si>
  <si>
    <t>Hodinová zúčtovací sazba pomocný stavební dělník</t>
  </si>
  <si>
    <t>" Stavební práce a dodávky spojené s provedením funkčního celku HSV - výpomoce, doplňkové práce a dodávky,kompletace apod. "</t>
  </si>
  <si>
    <t>%</t>
  </si>
  <si>
    <t xml:space="preserve">" Ostatní náklady na demontáž, odstranění apod. mj.s vazbou na stávající okolní konstrukce " </t>
  </si>
  <si>
    <t>" Cena včetně hladkého zatmelení napojovacích spár mezi deskami na obou vrstvách, výztužné pásky, vytmelení připojovacích spár, lemujících profilů, spojovacího a kotvícího materiálu. "</t>
  </si>
  <si>
    <t>SDK stěna předsazená základní penetrační nátěr</t>
  </si>
  <si>
    <t>763135901 SPC</t>
  </si>
  <si>
    <t>SDK podhled základní penetrační nátěr</t>
  </si>
  <si>
    <t>HZS2171</t>
  </si>
  <si>
    <t>Hodinová zúčtovací sazba sádrokartonář</t>
  </si>
  <si>
    <t xml:space="preserve">" Zednická výpomoc, doplňkové práce,kompletace apod." </t>
  </si>
  <si>
    <t>" Skladba podlahy : "</t>
  </si>
  <si>
    <t>HZS2331</t>
  </si>
  <si>
    <t>Hodinová zúčtovací sazba podlahář</t>
  </si>
  <si>
    <t>Podlahy povlakové</t>
  </si>
  <si>
    <t>776</t>
  </si>
  <si>
    <t>776099101 SPC</t>
  </si>
  <si>
    <t>" Cena skladby včetně ztratného "</t>
  </si>
  <si>
    <t>776099102 SPC</t>
  </si>
  <si>
    <t>" Montáž vinylu "</t>
  </si>
  <si>
    <t>Vysátí podkladu povlakových podlah</t>
  </si>
  <si>
    <t>Základní čištění nově položených podlahovin vysátím a setřením vlhkým mopem</t>
  </si>
  <si>
    <t>HZS2311</t>
  </si>
  <si>
    <t>Hodinová zúčtovací sazba malíř, natěrač, lakýrník</t>
  </si>
  <si>
    <t xml:space="preserve">" Zednická výpomoc,doplňkové práce,kompletace,zřízení prostupů,zapravení prostupů, apod." </t>
  </si>
  <si>
    <t>Dokončovací práce - Malby</t>
  </si>
  <si>
    <t xml:space="preserve">" Stavební práce a dodávky spojené s provedením funkčního celku 784 " </t>
  </si>
  <si>
    <t>Dvojnásobné bílé malby ze směsí za mokra výborně otěruvzdorných v místnostech výšky do 3,80 m</t>
  </si>
  <si>
    <t>014</t>
  </si>
  <si>
    <t>REKAPITULACE NÁKLADŮ</t>
  </si>
  <si>
    <t>Vyčištění budov bytové a občanské výstavby při výšce podlaží do 4 m</t>
  </si>
  <si>
    <t>SDK příčka základní penetrační nátěr (oboustranně)</t>
  </si>
  <si>
    <t>Oprášení (ometení ) podkladu v místnostech výšky do 3,80 m</t>
  </si>
  <si>
    <t>" Oprášení / ometení konstrukcí před penetrací. "</t>
  </si>
  <si>
    <t>Základní akrylátová jednonásobná penetrace podkladu v místnostech výšky do 3,80m</t>
  </si>
  <si>
    <t>Zakrytí vnitřních ploch stěn v místnostech výšky do 3,80 m</t>
  </si>
  <si>
    <t>" Provedení zakrytí oken, dveří, obkladů, před malováním "</t>
  </si>
  <si>
    <t>Zakrytí vnitřních ploch konstrukcí nebo prvků v místnostech výšky do 3,80 m</t>
  </si>
  <si>
    <t>" Provedení zakrytí stávajícího vybavení - nábytku, radiátorů, atp. před malováním "</t>
  </si>
  <si>
    <t>fólie pro malířské potřeby zakrývací tl 7µ 4x5m</t>
  </si>
  <si>
    <t xml:space="preserve">" Fólie pro zakrytí vnitřních stěn, oken, dveří " </t>
  </si>
  <si>
    <t>" Fólie pro zakrytí vnitřního vybavení "</t>
  </si>
  <si>
    <t>997</t>
  </si>
  <si>
    <t>997999901 SPC</t>
  </si>
  <si>
    <t>" - Odvoz suti a vybouraných hmot na skládku nebo meziskládku do 1 km se složením "</t>
  </si>
  <si>
    <t>" - Poplatek za uložení na skládce (skládkovné) stavebního odpadu směsného kód odpadu 17 09 04 "</t>
  </si>
  <si>
    <t>Objekt:   D.1.1. ASŘ</t>
  </si>
  <si>
    <t>JKSO:  801.35</t>
  </si>
  <si>
    <t>Část:  NOVÝ STAV</t>
  </si>
  <si>
    <t>" Vápenocementová omítka stěn štuková - tl. jádra do 20 mm, tl. štuku do 3 mm. "</t>
  </si>
  <si>
    <t xml:space="preserve">" Stavební práce a dodávky spojené s provedením funkčního celku 763." </t>
  </si>
  <si>
    <t>SDK stěna předsazená tl 75 mm profil CW+UW 50 desky 2xDFH2 12,5 s izolací EI 45</t>
  </si>
  <si>
    <t>Montáž SDK obkladu kcí dvojité opláštění</t>
  </si>
  <si>
    <t>deska SDK A tl 12,5mm</t>
  </si>
  <si>
    <t xml:space="preserve">SDK obklad základní penetrační nátěr </t>
  </si>
  <si>
    <t>" V ceně také zvlhčení podkladu. "</t>
  </si>
  <si>
    <t>" Olepení styčných ploch + olepení v místech ostře zakončených maleb "</t>
  </si>
  <si>
    <t>" V ceně také odstranění fólie po provedení prací. "</t>
  </si>
  <si>
    <t>fólie s papírovou páskou pro malířské potřeby 210mmx20m</t>
  </si>
  <si>
    <t>Příplatek k cenám 2x maleb ze směsí za mokra otěruvzdorných za barevnou malbu tónovanou přípravky</t>
  </si>
  <si>
    <t>Oškrabání malby v mísnostech výšky do 3,80 m</t>
  </si>
  <si>
    <t>Rozmývání podkladu po oškrabání malby v místnostech výšky do 3,80 m</t>
  </si>
  <si>
    <t xml:space="preserve">" Rozmývání podkladu na stávajících konstrukcích po seškrábání stávajících maleb " </t>
  </si>
  <si>
    <t>Olepování vnitřních ploch páskou v místnostech výšky do 3,80 m</t>
  </si>
  <si>
    <t>" Pomocné lešení pro objekty při provedení nového stavu "</t>
  </si>
  <si>
    <t>" Vyčištění místnosti po provedení prací "</t>
  </si>
  <si>
    <t>" Cena včetně akustických desek, hladkého zatmelení napojovacích spár mezi deskami, nosných profilů, závěsů, lemujících a ukončujících lišt, spojovacího a kotvícího materiálu. "</t>
  </si>
  <si>
    <r>
      <t xml:space="preserve">" Cena včetně </t>
    </r>
    <r>
      <rPr>
        <sz val="8"/>
        <color indexed="12"/>
        <rFont val="Arial CE"/>
        <family val="2"/>
        <charset val="238"/>
      </rPr>
      <t>kazet</t>
    </r>
    <r>
      <rPr>
        <sz val="8"/>
        <color indexed="12"/>
        <rFont val="Arial CE"/>
        <family val="2"/>
        <charset val="238"/>
      </rPr>
      <t>, nosných profilů, závěsů, lemujících a ukončujících lišt, okrajových profilů, F-profilů, T-profilů, spojovacího a kotvícího materiálu a dalších veškerých nutných prvků. "</t>
    </r>
  </si>
  <si>
    <t>SDK podhled desky 1xA 15 s izolací dvouvrstvá spodní kce profil CD+UD</t>
  </si>
  <si>
    <t>SDK příčka pozinkovaný úhelník k ochraně rohů</t>
  </si>
  <si>
    <t>SDK příčka ukončení ve volném prostoru</t>
  </si>
  <si>
    <t>" Dodávka vinylu "</t>
  </si>
  <si>
    <t>" V ceně také ukončovací , přechodové a dilatační lišty z hliníkových profilů s dilatační zónou, lepidlo, apod "</t>
  </si>
  <si>
    <t>776099901 SPC</t>
  </si>
  <si>
    <t xml:space="preserve">D+M Příprava podkladu před povlakovými podlahami - Specifikace dle PD                                             </t>
  </si>
  <si>
    <t xml:space="preserve">" Omítka vč. spojovací vrstvy (postřiku, spojovacího můstku). " </t>
  </si>
  <si>
    <t>Svislé a kompletní konstrukce</t>
  </si>
  <si>
    <t xml:space="preserve">" Minerální podhled kazetový s polozapuštěným roštem " </t>
  </si>
  <si>
    <t>Příplatek k montáži minerálního podhledu na zavěšený rošt za výšku zavěšení přes 0,5 do 1,0 m</t>
  </si>
  <si>
    <t>M</t>
  </si>
  <si>
    <t>Práce a dodávky M</t>
  </si>
  <si>
    <t>43-M</t>
  </si>
  <si>
    <t>Montáž ocelových konstrukcí</t>
  </si>
  <si>
    <t>943</t>
  </si>
  <si>
    <t>430999101 SPC</t>
  </si>
  <si>
    <t>D+M Ocelových konstrukcí včetně nátěru a povchové úpravy - Specifikace dle PD</t>
  </si>
  <si>
    <t>" Ocelová konstrukce výrobní skupiny EXC2 dle ČSN EN 1090, nosné ocelové prvky dle ČSN EN 10025+A1 z oceli S235. "</t>
  </si>
  <si>
    <t>" Cena včetně opravy nátěru po montážních svarech, veškerý spojovací materiál z pozinkované oceli nebo opatřen antikorózní úpravou. V ceně i přesun hmot. "</t>
  </si>
  <si>
    <t>HZS3121</t>
  </si>
  <si>
    <t>Hodinová zúčtovací sazba montér ocelových konstrukcí</t>
  </si>
  <si>
    <t>631999101 SPC</t>
  </si>
  <si>
    <t xml:space="preserve"> " 3. NP "</t>
  </si>
  <si>
    <t>763111458 RTO</t>
  </si>
  <si>
    <t>" S vloženou tepelnou izolací z minerální vaty objemové hmotnosti 15 kg/m3, s jednoduchými ocel.profily "</t>
  </si>
  <si>
    <t>763164901 SPC</t>
  </si>
  <si>
    <t>kg</t>
  </si>
  <si>
    <t>622143901 SPC</t>
  </si>
  <si>
    <t>D+M Omítkové / podomítkové profily okolo oken, otvorů - Specifikace dle PD</t>
  </si>
  <si>
    <t xml:space="preserve">" Omítkové / podomítkové profily v okolí oken, otvorů - rohové, začišťovací, apod. " </t>
  </si>
  <si>
    <t>"  Včetně naložení, svislého a vodorovného přesunu suti, odvoz stavební suti. 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</si>
  <si>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SDK příčka zalomení</t>
  </si>
  <si>
    <t>" V ceně veškeré nutné omítkové profily pro okna / dveře pro interiér i exteriér - rohové / zašiťovací, apod., kotvící a spojovací materiál a další veškeré práce související s provedením omítkových profilů, přesun hmot, suti. "</t>
  </si>
  <si>
    <t xml:space="preserve">SDK příčka tl cca 70 mm profil CD a UD desky 2x akustická 12,5 s izolací </t>
  </si>
  <si>
    <t>SDK příčka tl 125 mm profil CW+UW 75 desky 2xDFRIH2 12,5 s izolací EI 90 Rw do 61 dB</t>
  </si>
  <si>
    <t>611325901 SPC</t>
  </si>
  <si>
    <t xml:space="preserve">" Oprava / provedení omítek stropů v místě po vybouraných stěnách. Uvažována omítka VC štuková. " </t>
  </si>
  <si>
    <t>784181901 SPC</t>
  </si>
  <si>
    <t>D+M Penetrace základním pigmentovým nátěrem (modifikované remineralizační plastová disperze), vysoce čistitelná, odolná vůči dezinfekčním a čistícím prostředkům - Specifikace dle PD</t>
  </si>
  <si>
    <t>" Základní plněný pigmentový nátěr. Bez konzervačních látek. "</t>
  </si>
  <si>
    <t>D+M Dvojnásobná interiérová hedvábně matná vinylová barva bez obsahu rozpouštědel - Specifikace dle PD</t>
  </si>
  <si>
    <t>" Dvojnásobná malba (nátěr) interiérovou hedvábně matnou vinylovou barvou bez obsahu rozpouštědel.
Barva vhodná do školských prostor, kde je požadováno časté mytí a desinfekce.
Barva vysoce čistitelná, odolná proti čistícím prostředkům. "</t>
  </si>
  <si>
    <t>" Základní penetrační nátěr omítnutých konstrukcí. "</t>
  </si>
  <si>
    <t xml:space="preserve">" Malba disperzní , omyvatelná vhodná do reprezentativních prostor, s odolností proti oděru, matný vzhled, paropropustná. " </t>
  </si>
  <si>
    <t xml:space="preserve">" Vyčištění budov - plochy dopravních komunikací v objektu - odhad 200 m2 " </t>
  </si>
  <si>
    <t>" Nadpraží oken "</t>
  </si>
  <si>
    <t>349999911 SPC</t>
  </si>
  <si>
    <t>Případné nutné vyspravení / dozdění obezdívky sloupů - Specifikace dle PD</t>
  </si>
  <si>
    <t>" V ceně odstranění nesoudržného zdiva obednění, doplnění, případné vyspárování, začištění spár, a další veškeré práce a materiál související s provedením úpravy a doplnění obezdění sloupů "</t>
  </si>
  <si>
    <t>" V ceně také přesun hmot, případný přesun a likvidace suti. "</t>
  </si>
  <si>
    <r>
      <t xml:space="preserve">Cena celkem
 </t>
    </r>
    <r>
      <rPr>
        <b/>
        <sz val="10"/>
        <color rgb="FF0000FF"/>
        <rFont val="Arial CE"/>
        <family val="2"/>
        <charset val="238"/>
      </rPr>
      <t>NOVÝ STAV</t>
    </r>
    <r>
      <rPr>
        <sz val="10"/>
        <rFont val="Arial CE"/>
        <family val="2"/>
        <charset val="238"/>
      </rPr>
      <t xml:space="preserve">                                                          </t>
    </r>
  </si>
  <si>
    <t>" Příplatek za každých 10 mm tl. jádra omítky - za tl. od 20 do 30 mm - 1×.  "</t>
  </si>
  <si>
    <t>D+M Zaslepení stávajících nevyužívaných prostupů skrze stropní desky v dotčených stropních konstrukcích - Specifikace dle PD</t>
  </si>
  <si>
    <t xml:space="preserve">" Zaslepení nevyužívaných prostupů v dotčených stropních deskách. " </t>
  </si>
  <si>
    <t>631999401 SPC</t>
  </si>
  <si>
    <t>" V ceně veškerý nutný materiál - beton, bednění vč. podstojkování vč. pozdější demontáže, trny vč. lepící hmoty, apod. - a práce - zabednění a odbednění, očištění a navlhčení, zkosecí hran, vylití otvorů, vlepení trnů, přesunu hmot a suti, apod. - související se zaslepení stávajících otvorů v dotčených stropních konstrukcích. "</t>
  </si>
  <si>
    <t>953333901 SPC</t>
  </si>
  <si>
    <t>D+M Vyplnění mezery mezi korunami příček a vyzdívek a stávající stropní konstrukci stlačitelným materiálem - Spoecifikace dle PD</t>
  </si>
  <si>
    <t>" Provedení výplně mezi vyzděnými a montovanými příčkami a stávajících stropem - tl. mezery ± 20 mm "</t>
  </si>
  <si>
    <t>" V ceně také přesun hmot. "</t>
  </si>
  <si>
    <t>" V ceně také očištění, příprava po vybouraném zdivu, zajištění napojení na stávající omítky a další práce a příslušenství související s provedením omítky.  
V ceně také přesun hmot. "</t>
  </si>
  <si>
    <t xml:space="preserve">" Stavební práce a dodávky spojené s provedením funkčního celku M-43. " </t>
  </si>
  <si>
    <t>" - Příplatek k odvozu suti a vybouraných hmot na skládku ZKD 1 km přes 1 km - uvažována skládka ve vzdálenosti do 30 km "</t>
  </si>
  <si>
    <t>784181902 SPC</t>
  </si>
  <si>
    <t>Náklady spojené s odvozem a uložením suti - směsný stavební odpad - malba - vzdálenost skládky do 30 km</t>
  </si>
  <si>
    <t>CS ÚRS/TEO 2021 01</t>
  </si>
  <si>
    <t>Přesun hmot ruční pro budovy v do 12 m</t>
  </si>
  <si>
    <t>" V ceně započteny náklady na tmelení, výztužnou pásku. "</t>
  </si>
  <si>
    <t>Přesun hmot procentní pro sádrokartonové konstrukce v objektech v do 12 m</t>
  </si>
  <si>
    <t>" SDK příčka nad prosklenou příčkou - 3. NP " (4,0)*1,05</t>
  </si>
  <si>
    <t>SDK příčka tl 100 mm profil CW+UW 50 desky 2xDFRIH2 12,5 s izolací EI 90 Rw do 59 dB</t>
  </si>
  <si>
    <t>" SDK podhled hladký, bílý - RASTR 1"</t>
  </si>
  <si>
    <t>D+M Minerální podhled kazetový, tl. 15 mm, rastr  600×600 mm - Specifikace dle PD - RASTR 3</t>
  </si>
  <si>
    <t>D+M Akustický minerální podhled lineární, tl. 20 mm, rastr  600×1200 mm - Specifikace dle PD - RASTR 2</t>
  </si>
  <si>
    <t>763135902 SPC</t>
  </si>
  <si>
    <t>" Akustický minerální podhled lineární s polozapuštěnným roštem z panely ze skelného vlákna. "</t>
  </si>
  <si>
    <t>" Akustický minerální podhled - místnosti N03814, N03832 " (24,48+15,84)*1,05</t>
  </si>
  <si>
    <t>" Ukončení příčky ve volném prostoru - nika " 0,9</t>
  </si>
  <si>
    <t>" Zalomení SDK příčky - 3. NP " (5)*3,25+(2)*1,05</t>
  </si>
  <si>
    <t>SDK podhled napojení na jiný druh podhledu</t>
  </si>
  <si>
    <t>" Napojení SDK podhledů na minerální podhled "</t>
  </si>
  <si>
    <t>" Napojení SDK podhledu na akustický minerální - 3. NP " 28,8+43,2</t>
  </si>
  <si>
    <t>" Homogenní vinyl v 3. NP - m. N03822, N03823 " 31,85+35,72</t>
  </si>
  <si>
    <t>" Montáž koberce "</t>
  </si>
  <si>
    <t>" Dodávka koberce "</t>
  </si>
  <si>
    <t xml:space="preserve">" Stavební práce a dodávky spojené s provedením funkčního celku 776. " </t>
  </si>
  <si>
    <t>Přesun hmot procentní pro podlahy povlakové v objektech v do 12 m</t>
  </si>
  <si>
    <t>" Sokl pro podlahy s vinylem - chodby, kuchyňka, kopírka. "</t>
  </si>
  <si>
    <t>" Sokl pro podlahy s vinylem - PC laboratoře. "</t>
  </si>
  <si>
    <t>" Olepení v místě zárubní - odhad  150 m " 150</t>
  </si>
  <si>
    <t>" Fólie s páskou pro přilepení u zárubní " (150)*1,05</t>
  </si>
  <si>
    <t>" Olepení v místě obkladu / soklu - odhad 400 m " 400</t>
  </si>
  <si>
    <t>" Fólie s páskou pro přilepení u obkladů / soklů " (400)*1,05</t>
  </si>
  <si>
    <t>" 3. NP - odhad 350 m2 "</t>
  </si>
  <si>
    <t>" 3. NP - odhad 200 m2 "</t>
  </si>
  <si>
    <t>" Odhad 350 m2 " (350)*1,05</t>
  </si>
  <si>
    <t>" Odhad - 200 m2 " (200)*1,05</t>
  </si>
  <si>
    <t>" Nátěr ploch SDK konstrukcí "</t>
  </si>
  <si>
    <t>" Malba ploch SDK konstrukcí "</t>
  </si>
  <si>
    <t>" Oprava omítek stropů - tl. do 20 mm a tl. štuku do 3 mm. "</t>
  </si>
  <si>
    <t>" 3. NP - parapetní zdivo " (34,7+36,0)*1,25</t>
  </si>
  <si>
    <t>" 3. NP - sloupy v řešených místnostech " (2,1+2,16+2,18+2,2+2,22+2,24*2+2,26*3+2,28+2,3+2,32+2,34)*3,35</t>
  </si>
  <si>
    <t>" 3. NP - zdivo a sloupy u přilehlých částí " (14,25+14,05)*3,35-(1,7*2,4+1,55*2,02)</t>
  </si>
  <si>
    <t>" 3. NP - nadpraží oken " (34,7+36,0)*0,1</t>
  </si>
  <si>
    <t>" 3. NP - místnosti N03044 - N03051 " 11,13+24,81+33,26+22,82+11,82+16,25+16,92+15,59+15,74</t>
  </si>
  <si>
    <t>" 3. NP - místnosti N03056 - N03064 " 17,72+14,36+14,61+15,53+16,28+16,51+15,54+15,57+17,22+19,21</t>
  </si>
  <si>
    <t>" 3. NP - místnosti N03080 " 61,08</t>
  </si>
  <si>
    <t>D+M Doplnění podlahy po vybourání stávajícího zdiva - Specifikace dle PD</t>
  </si>
  <si>
    <t>" - Vnitrostaveništní doprava suti a vybouraných hmot pro budovy v do 12 m ručně. V ceně svislé a vodorovné přesunutí sutě vč. naložení s urovnáním. "</t>
  </si>
  <si>
    <t>" Sokl v m. N03814 " (30,85)*1,1</t>
  </si>
  <si>
    <t>" Sokl v m. N03828 " (12,05)*1,1</t>
  </si>
  <si>
    <t>" Sokl v m. N03832 " (21,05)*1,1</t>
  </si>
  <si>
    <t>" POZN: Možno nahradit 1 desku DFRIH2 12,5 (vysokopevnostní protipožární) za desku A 12,5 v místech oddělujících jendotlivé místnosti a chodbu. "</t>
  </si>
  <si>
    <t>763111464 RTO</t>
  </si>
  <si>
    <t xml:space="preserve">SDK příčka tl cca 70 mm profil CD a UD desky 2x DFRIH2 12,5 s izolací </t>
  </si>
  <si>
    <t>" POZN: Značení místností bráno z výkresů BP. "</t>
  </si>
  <si>
    <t>" Oškrábání maleb na stávajících konstrukcích - nadpraží oken. " (7,07)</t>
  </si>
  <si>
    <t>" Malba nadpraží oken " 7,07</t>
  </si>
  <si>
    <t>Ostatní práce a dodávky</t>
  </si>
  <si>
    <t>790999101 SPC</t>
  </si>
  <si>
    <t>HZS2492</t>
  </si>
  <si>
    <t>Hodinová zúčtovací sazba pomocný dělník PSV</t>
  </si>
  <si>
    <t>" Stavební práce a dodávky spojené s provedením funkčního celku 790 "</t>
  </si>
  <si>
    <t>790</t>
  </si>
  <si>
    <t>998790202 SPC</t>
  </si>
  <si>
    <t>" V ceně také kotvící prvky, přesun hmot a suti a likvidace suti. "</t>
  </si>
  <si>
    <t>Přesun hmot pro ostatní výrobky v objektech v do 12 m</t>
  </si>
  <si>
    <t>" Případná ocelová konstrukce pro SDK konstrukce nad prosklennou příčkou "</t>
  </si>
  <si>
    <t>Celkem - D.1.1. ASŘ - NOVÝ STAV</t>
  </si>
  <si>
    <t>" Oprášení podkladu pro malbu - nadpraží oken - 3. NP " (7,07)</t>
  </si>
  <si>
    <t xml:space="preserve">" Oprava omítek stěn - 3. NP " </t>
  </si>
  <si>
    <t>" Ocelové profily skryté v SDK příčkách budou otryskány na stupeň Sa2,5. Povrchová úprava bude ve skladbě: základní epoxidový nátěr v min. tloušťce 80 μm. "</t>
  </si>
  <si>
    <t>" Sokl výšky 58 mm po obvodě místností určený pro vlepení (vložení) pásku vč. pásků a jejich montáže.. "</t>
  </si>
  <si>
    <t>D.1.1. ASŘ - NOVÝ STAV</t>
  </si>
  <si>
    <t>" V ceně také přesun hmot, případné suti vč. likvidace. "</t>
  </si>
  <si>
    <t>430999102 SPC</t>
  </si>
  <si>
    <t>" Cena obsahuje také kotvení ocelových konstrukcí pomocí navrtání, kotev, ocelových kotevních desek, patních a roznášecích plechů, chemického zakotvení a dalších prvků pro uložení - např. maltového lože, apod. ". "</t>
  </si>
  <si>
    <t>Část:   NOVÝ STAV</t>
  </si>
  <si>
    <t>CS ÚRS 2022 01</t>
  </si>
  <si>
    <t>" Pomocné lešení - 3. NP - místnost N03075 " 1,2</t>
  </si>
  <si>
    <t>" Pomocné lešení - 3. NP - místnost N03074 " 5,5</t>
  </si>
  <si>
    <t>" Vyčištění místnosti - 3. NP - místnost N03075 " 1,2</t>
  </si>
  <si>
    <t>" Vyčištění místnosti - 3. NP - místnost N03074 " 5,5</t>
  </si>
  <si>
    <t>" Pomocné lešení - 3. NP - místnosti N03814 - N03832 " 38,81+9,29+6,53+16,2+14,52+16,44+15,02+16,83+31,85+35,72+17,43+54,39+18,44+16,63+9,76+21,85+18,06+15,84+25,08</t>
  </si>
  <si>
    <t>" Vyčištení místností - 3. NP - místnosti N03814 - N03832 " 38,81+9,29+6,53+16,2+14,52+16,44+15,02+16,83+31,85+35,72+17,43+54,39+18,44+16,63+9,76+21,85+18,06+15,84+25,08</t>
  </si>
  <si>
    <t>Vodou ředitelná penetrace savého podkladu povlakových podlah</t>
  </si>
  <si>
    <t>CS ÚRS/TEO 2022 01</t>
  </si>
  <si>
    <t>" Homogenní vinyl v 3. NP - m. N03814, N03824, N03828, N03832 " (38,81+17,43+9,76+25,08)</t>
  </si>
  <si>
    <t>" Odečet ploch za místa s doplněnou celkovou skladbou od stropní konstrukce - m. N03824, N03828 " -(1,38+0,53)</t>
  </si>
  <si>
    <t>" - Vyčištění podkladu, vyspravení, vyrovnání povrchu na stropní konstrukci, odstranění nerovností, podložka apod."</t>
  </si>
  <si>
    <t>" POZN: Vyrovnání povrchu po vybourání nášlapné vrstvy podlah je uvažováno v jednotlivých skladbách s pouze nášlapnou vrstvou. "</t>
  </si>
  <si>
    <t>" Antistatický vinyl v 3. NP - m. N03815 " 9,29</t>
  </si>
  <si>
    <t>" Montáž izolace "</t>
  </si>
  <si>
    <t>" Dodávka izolace "</t>
  </si>
  <si>
    <t xml:space="preserve">" - Vinyl homogenní, povrchová úprava PUR, třída zátěže 34,  vč. flexibilního lepidla - tl. bez lepidla - 2,0 mm - 2,1 m2 " </t>
  </si>
  <si>
    <t xml:space="preserve">" - Litý anhydritový samonivelační potěr - uvažována třída C30 - tl. 50 mm - 2,1 m2. " </t>
  </si>
  <si>
    <r>
      <t xml:space="preserve">" - Podlahová tepelná izolace - minerální vlna - uvažována </t>
    </r>
    <r>
      <rPr>
        <sz val="8"/>
        <color rgb="FF0000FF"/>
        <rFont val="Book Antiqua"/>
        <family val="1"/>
        <charset val="238"/>
      </rPr>
      <t>λ</t>
    </r>
    <r>
      <rPr>
        <sz val="8"/>
        <color rgb="FF0000FF"/>
        <rFont val="Arial CE"/>
        <family val="2"/>
        <charset val="238"/>
      </rPr>
      <t xml:space="preserve"> = 0,033 - 0,035 W/mK - tl. 40 mm - 2,1 m2</t>
    </r>
  </si>
  <si>
    <t>" - Samonivelační stěrka - tl. do 10 mm - 2,1 m2 "</t>
  </si>
  <si>
    <t>" Odečet ploch za místa s doplněnou celkovou skladbou od stropní konstrukce - m. N03822, N03823 " -(3,14+4,0)</t>
  </si>
  <si>
    <t xml:space="preserve">" - Vinyl homogenní, povrchová úprava PUR, třída zátěže 34,  vč. flexibilního lepidla - tl. bez lepidla - 2,0 mm - 66,5 m2 " </t>
  </si>
  <si>
    <t>" - Případná samonivelační cementová stěrka pro vyrovnání povrchu po odstranění původní nášlapné vrstvy - tl. do 10 mm - 66,5 m2 "</t>
  </si>
  <si>
    <t>776099111 SPC</t>
  </si>
  <si>
    <t xml:space="preserve">" - Vinyl homogenní, povrchová úprava PUR, třída zátěže 34,  vč. flexibilního lepidla - tl. bez lepidla - 2,0 mm - 7,85 m2 " </t>
  </si>
  <si>
    <t xml:space="preserve">" - Litý anhydritový samonivelační potěr - uvažována třída C30 - tl. 50 mm - 7,85 m2. " </t>
  </si>
  <si>
    <r>
      <t xml:space="preserve">" - Podlahová tepelná izolace - minerální vlna - uvažována </t>
    </r>
    <r>
      <rPr>
        <sz val="8"/>
        <color rgb="FF0000FF"/>
        <rFont val="Book Antiqua"/>
        <family val="1"/>
        <charset val="238"/>
      </rPr>
      <t>λ</t>
    </r>
    <r>
      <rPr>
        <sz val="8"/>
        <color rgb="FF0000FF"/>
        <rFont val="Arial CE"/>
        <family val="2"/>
        <charset val="238"/>
      </rPr>
      <t xml:space="preserve"> = 0,033 - 0,035 W/mK - tl. 40 mm - 7,85 m2</t>
    </r>
  </si>
  <si>
    <t>" - Samonivelační stěrka - tl. do 10 mm - 7,85 m2 "</t>
  </si>
  <si>
    <t>D+M Koberec - Podlaha v 3. NP - Kanceláře, zasedací místnosti, zabezpečená oblast - Specifikace dle PD</t>
  </si>
  <si>
    <t>D+M Vinyl homogenní - Podlaha v 3. NP - Chodby, kuchyňka, kopírka - Specifikace dle PD</t>
  </si>
  <si>
    <t>D+M Vinyl homogenní - Podlaha v 3. NP - Chodby, kuchyňka, kopírka - doplnění celkové skladby podlahy - Specifikace dle PD</t>
  </si>
  <si>
    <t>D+M Vinyl homogenní - Podlaha v 3. NP - PC laboratoře - Specifikace dle PD</t>
  </si>
  <si>
    <t>D+M Vinyl homogenní - Podlaha v 3. NP - PC laboratoře - doplnění celkové skladby podlahy - Specifikace dle PD</t>
  </si>
  <si>
    <t>D+M Vinyl antistatický - Podlaha v 3. NP - Rozvodna SLP - Specifikace dle PD</t>
  </si>
  <si>
    <t xml:space="preserve">" - Vinyl antistatický povrchová úprava PUR, třída zátěže 34,  vč. flexibilního lepidla - tl. bez lepidla - 2,0 mm - 10,25 m2 " </t>
  </si>
  <si>
    <t>" Koberec v 3. NP - m. N03816 - N03821, N03825 - N03827, N03829 - N03831 " (6,53+16,2+14,52+16,44+15,02+16,83)+(54,39+18,44+16,63)+(21,85+18,06+15,84)</t>
  </si>
  <si>
    <t>" Odečet ploch za místa s doplněnou celkovou skladbou od stropní konstrukce - m. N03817 - N03821, N03825 - N03827, N03829 - N03831 " -((0,98+0,69+1,03+0,97+1,15)+(4,85+1,13+0,97)+(0,6+0,79+2,34))</t>
  </si>
  <si>
    <t>776099131 SPC</t>
  </si>
  <si>
    <t>776099141 SPC</t>
  </si>
  <si>
    <t xml:space="preserve">" - Koberec s klasickou smyčkou, třída zátěže 33, vč. flexibilního lepidla - tl. bez lepidla - 5,0 mm - 236,8 m2 " </t>
  </si>
  <si>
    <t>" - Případná samonivelační cementová stěrka pro vyrovnání povrchu po odstranění původní nášlapné vrstvy - tl. do 10 mm - 236,8 m2 "</t>
  </si>
  <si>
    <t>776099142 SPC</t>
  </si>
  <si>
    <t>D+M Koberec - Podlaha v 3. NP - Kanceláře, zasedací místnosti, zabezpečená oblast  - doplnění celkové skladby podlahy - Specifikace dle PD</t>
  </si>
  <si>
    <t>" Koberec v 3. NP - doplnění celkové skladby od stropní konstrukce - m. N03817 - N03821, N03825 - N03827, N03829 - N03831 " (0,98+0,69+1,03+0,97+1,15)+(4,85+1,13+0,97)+(0,6+0,79+2,34)</t>
  </si>
  <si>
    <t>" Homogenní vinyl v 3. NP - doplnění celkové skladby od stropní konstrukce - m. N03822, N03823 " (3,14+4,0)</t>
  </si>
  <si>
    <t>" Homogenní vinyl v 3. NP - doplnění celkové skladby od stropní konstrukce - m. N03824, N03828 " (1,38+0,53)</t>
  </si>
  <si>
    <t xml:space="preserve">" - Koberec s klasickou smyčkou, třída zátěže 33, vč. flexibilního lepidla - tl. bez lepidla - 5,0 mm - 17,05 m2 " </t>
  </si>
  <si>
    <t xml:space="preserve">" - Litý anhydritový samonivelační potěr - uvažována třída C30 - tl. 50 mm - 17,05 m2. " </t>
  </si>
  <si>
    <r>
      <t xml:space="preserve">" - Podlahová tepelná izolace - minerální vlna - uvažována </t>
    </r>
    <r>
      <rPr>
        <sz val="8"/>
        <color rgb="FF0000FF"/>
        <rFont val="Book Antiqua"/>
        <family val="1"/>
        <charset val="238"/>
      </rPr>
      <t>λ</t>
    </r>
    <r>
      <rPr>
        <sz val="8"/>
        <color rgb="FF0000FF"/>
        <rFont val="Arial CE"/>
        <family val="2"/>
        <charset val="238"/>
      </rPr>
      <t xml:space="preserve"> = 0,033 - 0,035 W/mK - tl. 40 mm - 17,05 m2</t>
    </r>
  </si>
  <si>
    <t>" - Samonivelační stěrka - tl. do 10 mm - 17,05 m2 "</t>
  </si>
  <si>
    <t>" Pod antistatický vinyl " 9,29</t>
  </si>
  <si>
    <t>" Pod kobercem " (215,25+15,5)</t>
  </si>
  <si>
    <t xml:space="preserve">CS ÚRS/TEO 2022 01 </t>
  </si>
  <si>
    <t>" SDK podhled - místnosti N03814 a N03832 " (13,97+9,24)*1,05</t>
  </si>
  <si>
    <t>" SDK podhledy - čela podhledů - svislá část - v. 450 mm " ((6,645+6,615*2+4,45+3,265*3+3,25*6+3,24+1,1)*0,45)*1,05</t>
  </si>
  <si>
    <t xml:space="preserve">" Penetrační nátěr SDK podhledů - čela - svislá část " 26,082 </t>
  </si>
  <si>
    <t>" Penetrační nátěr SDK podhledů - 3. NP " (13,97+9,24)</t>
  </si>
  <si>
    <t>" Kazetový podhled minerální - místnosti N03816 - N03823, N03825 - N03827, N03829 - N03831 " ((5,33+13,032+11,407+13,117+11,474+13,043+23,41+25,936)+(42,349+14,9+13,26)+(17,746+15,005+12,497))*1,05</t>
  </si>
  <si>
    <t>Akustická a protiotřesová opatření</t>
  </si>
  <si>
    <t>714121901 SPC</t>
  </si>
  <si>
    <t>" V ceně veškeré nutné příslušenství a prvky pro provedení akustického panelu - kotvící prvky, rastr, napojovací, ochranné a další lišty, apod. "</t>
  </si>
  <si>
    <t>714</t>
  </si>
  <si>
    <t>HZS2161</t>
  </si>
  <si>
    <t>Hodinová zúčtovací sazba izolatér</t>
  </si>
  <si>
    <t xml:space="preserve">" Stavební práce a dodávky spojené s provedením funkčního celku 711. " </t>
  </si>
  <si>
    <t>Přesun hmot procentní pro akustická a protiotřesová opatření v objektech v do 12 m</t>
  </si>
  <si>
    <t>D+M Stěnový akustický obklad - tl. 16 mm - Specifikace dle PD</t>
  </si>
  <si>
    <t>" Akustický obklad stěn zasedací místnosti v 3. NP - m. N03825." ((5,24+4,69)*2,8-1,35*2,25)*1,1</t>
  </si>
  <si>
    <t>" SDK příčka - redukované napojení - 3. NP " (12*(0,2*3,35))*1,05</t>
  </si>
  <si>
    <t>" S vloženou tepelnou izolací z minerální vaty (skelné plsti) tl. 60 mm, s jednoduchými ocelovými profily "</t>
  </si>
  <si>
    <t>" S vloženou tepelnou izolací z minerální vaty objemové hmotnosti 15 kg/m3, s jednoduchými ocelovými profily "</t>
  </si>
  <si>
    <t>" S vloženou tepelnou izolací z minerální vaty, s jednoduchými ocelovými profily "</t>
  </si>
  <si>
    <t>" SDK příčka - 3. NP " (408,805)*1,05</t>
  </si>
  <si>
    <t>" POZN: Možno nahradit 1 desku DFRIH2 12,5 (vysokopevnostní protipožární) za desku A 12,5 v místech oddělujících jendotlivé místnosti a chodbu, vyjma místností N03816 a N03817. Tyto mísnosti musí být opláštěny po svých obvodech deskami 2× DFRIH2. "</t>
  </si>
  <si>
    <t>" SDK příčka - redukované napojení v místech zabezpečené oblasti a rozvodny slaboproudu - 3. NP " (3*(0,2*3,35))*1,05</t>
  </si>
  <si>
    <t>" Penetrační nátěr obou stran SDK příček " (8,04+2,01)+(4,0+408,805)</t>
  </si>
  <si>
    <t>" S vloženou tepelnou izolací tl. 50 mm, s jednoduchými ocelovými profily "</t>
  </si>
  <si>
    <t>" Opláštění profesí - 3. NP " (27,636)*1,05</t>
  </si>
  <si>
    <t>" Penetrační nátěr předsazených SDK stěn " (27,636)</t>
  </si>
  <si>
    <t>" Provedení obkladu SDK deskami stávající sloupy a opláštění pouzdra posuvných dveří " 33,52</t>
  </si>
  <si>
    <t>" SDK desky pro obložení stávajících sloupů a opláštění pouzdra posuvných dveří - dvojité opláštění " ((33,52)*2)*1,1</t>
  </si>
  <si>
    <t>" Penetrační nátěr SDK obkladu " 33,52</t>
  </si>
  <si>
    <t xml:space="preserve">" Příplatek za zavěšení přes 0,5 m - RASTR 2 " (24,48+15,84) </t>
  </si>
  <si>
    <t>" Ukončení příčky ve volném prostoru " (3,25)*3</t>
  </si>
  <si>
    <t>" Penetrační nátěr ukončení příček ve volném prostoru " ((3,25)*3+0,9)*0,125</t>
  </si>
  <si>
    <t>SDK stěna předsazená zalomení</t>
  </si>
  <si>
    <t>" Dodávka desek pro zdvojené podlahy "</t>
  </si>
  <si>
    <t>" Montáž desek pro zdvojené podlahy "</t>
  </si>
  <si>
    <t>D+M Vinyl homogenní - Podlaha v 3. NP - Příprava pro další fázi - Specifikace dle PD</t>
  </si>
  <si>
    <t>" Předpoklad homogenní vinyl v 3. NP - m. N03074 " 4,22</t>
  </si>
  <si>
    <t>776099151 SPC</t>
  </si>
  <si>
    <t xml:space="preserve">" - Konstrukce zdvojené podlahy - tl. do 100 mm - 10,25 m2. " </t>
  </si>
  <si>
    <t xml:space="preserve">" - Vinyl homogenní, povrchová úprava PUR, třída zátěže 34,  vč. flexibilního lepidla - tl. bez lepidla - 2,0 mm - 4,65 m2 " </t>
  </si>
  <si>
    <t xml:space="preserve">" - Konstrukce zdvojené podlahy - tl. do 100 mm - 4,65 m2. " </t>
  </si>
  <si>
    <t>" Nosná konstrukce pro zdvojené podlahy - stojky vč. veškerého příslušenství "</t>
  </si>
  <si>
    <t>" Homogenní vinyl v 3. NP - část m. N03075 " 1,2</t>
  </si>
  <si>
    <t xml:space="preserve">" - Vinyl homogenní, povrchová úprava PUR, třída zátěže 34,  vč. flexibilního lepidla - tl. bez lepidla - 2,0 mm - 99,45 m2 " </t>
  </si>
  <si>
    <t>" - Případná samonivelační cementová stěrka pro vyrovnání povrchu po odstranění původní nášlapné vrstvy - tl. do 10 mm - 99,45 m2 "</t>
  </si>
  <si>
    <t>" Pod homogenní vinyl " (90,37+1,91)+(60,43+7,14)+(4,22)</t>
  </si>
  <si>
    <t>Příplatek k SDK podhledu za výšku zavěšení přes 0,5 do 1,0 m</t>
  </si>
  <si>
    <t xml:space="preserve">" Příplatek za zavěšení SDK podhledu přes 0,5 m - RASTR 1 " (13,97+9,24) </t>
  </si>
  <si>
    <t>" Ochrana SDK rohů " ((12+8)*3,25+(2,2*2+0,9*1))*1,05</t>
  </si>
  <si>
    <t>" Zalomení SDK předstěny - 3. NP " (6)*3,25</t>
  </si>
  <si>
    <t>" Sokl v m. N03815 " (14,65)*1,1</t>
  </si>
  <si>
    <t>" Sokl v m. N03824 " (14,3)*1,1</t>
  </si>
  <si>
    <t>" Sokl v části m. N03075 " (2,6)*1,1</t>
  </si>
  <si>
    <t>" Sokl v m. N03822 " (21,75)*1,1</t>
  </si>
  <si>
    <t>" Sokl v m. N03823 " (26,35)*1,1</t>
  </si>
  <si>
    <t>" Sokl v m. N03816 - N03821 " (11,05+14,85+14,6+15,65+14,85+15,9)*1,1</t>
  </si>
  <si>
    <t>" Sokl v m. N03825 - N03827 " (32,15+16,85+15,9)*1,1</t>
  </si>
  <si>
    <t>" Sokl v m. N03829 - N03831 " (18,1+16,6+15,4)*1,1</t>
  </si>
  <si>
    <t>" Sokl v m. N03074 " (11,2)*1,1</t>
  </si>
  <si>
    <t>" Sokl pro podlahy s vinylem - původní sklad "</t>
  </si>
  <si>
    <t>" Sokl pro podlahy s vinylem - rozvodna SLB. "</t>
  </si>
  <si>
    <t>" Sokl pro podlahy s kobercem - kanceláře, zasedací místnost, úschovna pro zabezpečovací oblast, zabezpečovací oblast. "</t>
  </si>
  <si>
    <t xml:space="preserve">" - Pásky do soklové obvodové lišty. " </t>
  </si>
  <si>
    <t xml:space="preserve">" - Obvodové lišty / sokl pro vložení pásků. " </t>
  </si>
  <si>
    <t>" Montáž obvodové lišty / soklu "</t>
  </si>
  <si>
    <t>" Dodávka obvodové lišty / soklu "</t>
  </si>
  <si>
    <t>" Montáž / vložení nařezaných pásků do lišty/ soklů vč. nařezání "</t>
  </si>
  <si>
    <t>776411901 SPC</t>
  </si>
  <si>
    <t>" V ceně kotvící prvky / lepidlo, řezání pásků, apod.. "</t>
  </si>
  <si>
    <t>776411902 SPC</t>
  </si>
  <si>
    <t>" POZN: Z 1 m2 vnášlapné vrstvy uvažováno 20 m pásků v. 50 mm pro vložení do lišt. "</t>
  </si>
  <si>
    <t>" Dodávka vinylu pro nařezání a vložení - 1 m2 ≈ 20 m pásku v. 50 mm. " 187,35 m ≈ 9,4 m2</t>
  </si>
  <si>
    <t>" Sokl výšky 55 mm po obvodě místností určený pro vlepení (vložení) pásku vč. pásků a jejich montáže.. "</t>
  </si>
  <si>
    <t>" Dodávka koberce pro nařezání a vložení - 1 m2 ≈ 20 m pásku v. 50 mm. " 244,3 m ≈ 12,3 m2</t>
  </si>
  <si>
    <t>" Základní setření podlahovin z vinylu po položení. " (90,37+1,91)+(60,43+7,14)+(9,29)+(4,22)</t>
  </si>
  <si>
    <t>" Základní vysátí podlahovin z textilu po položení. " (215,25+15,5)</t>
  </si>
  <si>
    <t>" Oprášení podkladu pro malbu na SDK - příčky " ((8,04+2,01)+(4,0+408,805))*2</t>
  </si>
  <si>
    <t>" Oprášení podkladu pro malbu na SDK - ukončení příček ve volném prostoru " 1,33</t>
  </si>
  <si>
    <t>" Oprášení podkladu pro malbu na SDK - stěna předsazená " (27,636)</t>
  </si>
  <si>
    <t>" Oprášení podkladu pro malbu na SDK - podhledy " (26,082)+(13,97+9,24)</t>
  </si>
  <si>
    <t>" Oprášení podkladu pro malbu na SDK - obklady sloupů, pouzder " (33,52)</t>
  </si>
  <si>
    <t>" 3. NP " (845,71+1,33+27,64+49,29+33,52)</t>
  </si>
  <si>
    <t>" Oprášení podkladu pro malbu na nové omítky stropu - doplnění po vybourání zdiva " (25,594)</t>
  </si>
  <si>
    <t>" Oprášení podkladu pro malbu na opravované omítky stropů " (403,98-7,07)</t>
  </si>
  <si>
    <t>" Oprášení podkladu pro malbu na opravované omítky stěn " 314,45</t>
  </si>
  <si>
    <t>" Oškrábání maleb na stávajících konstrukcích - stěny. " (314,45)</t>
  </si>
  <si>
    <t>" Oškrábání maleb na stávajících konstrukcích - stropy. " (396,91)</t>
  </si>
  <si>
    <t>" Odečet za plochy SDK konstrukcí " -(845,71+1,33+27,64+49,29+33,52)</t>
  </si>
  <si>
    <t>" Malba opravovaných omítek stěn " 314,45</t>
  </si>
  <si>
    <t>" Malba opravovaných omítek stropů " 396,91</t>
  </si>
  <si>
    <t>" Malbu na nové omítky stropu - doplnění po vybourání zdiva " 25,594</t>
  </si>
  <si>
    <t>" Případné doplnění podlahy v 3. NP pod SDK konstrukcemi " (38,9)-(1,91+7,14+9,29+15,5+4,22)</t>
  </si>
  <si>
    <t>" 3. NP - rozdíl půdorysných ploch vybouraného a nového zdiva " 25,594</t>
  </si>
  <si>
    <t>" Doplnění veškerých podkladní vrstev podlahy po provedení vybourání zdiva. 
Předpokládaná skladba doplnění: (od vrchní vrstvy) 
 - Litý anhydritový samonivelační potěr - uvažována třída C30 - tl. 50 mm;
 - Podlahová tepelná izolace - minerální vlna - uvažována λ = 0,033 - 0,035 W/mK - tl. 40 mm;
 - Samonivelační stěrka - tl. do 10 mm;
 - Případná úprava podkladu - vyčištění, vyrovnání, apod. "</t>
  </si>
  <si>
    <t>" V ceně veškeré nutné příslušenství a materiál vč. veškerých nutných prvků, doplňků a příslušenství. "</t>
  </si>
  <si>
    <t>Oprava vnitřní vápenocementové štukové omítky stropů v rozsahu plochy přes 10 do 30 %</t>
  </si>
  <si>
    <t>" 3. NP - místnosti N03074 " 3,74</t>
  </si>
  <si>
    <t>" 3. NP - část místnosti N03075 " 1,2</t>
  </si>
  <si>
    <t>Příplatek k cenám opravy vápenocementové omítky stropů za dalších 10 mm v rozsahu přes 10 do 30 %</t>
  </si>
  <si>
    <t>" 3. NP " 25,594</t>
  </si>
  <si>
    <t>Oprava vnitřní vápenocementové štukové omítky stěn v rozsahu plochy přes 30 do 50 %</t>
  </si>
  <si>
    <t>" 3. NP - m. N03074 " 7,92*3,35-0,9*2,02</t>
  </si>
  <si>
    <t>" 3. NP - část m. N03075 " 2,6*3,35</t>
  </si>
  <si>
    <t xml:space="preserve">" Příplatek k omítce stěn - 3. NP " </t>
  </si>
  <si>
    <t xml:space="preserve">" Příplatek k opravě omítky stropů za tl. od 20 do 30 mm - 1×. " </t>
  </si>
  <si>
    <t>Příplatek k cenám opravy vápenocementové omítky stěn za dalších 10 mm v rozsahu přes 30 do 50 %</t>
  </si>
  <si>
    <t>Oprava / provedení vnitřní omítky stěn v místech vybouraných konstrukcí - Soecifikace dle PD</t>
  </si>
  <si>
    <t>Oprava / provedení vnitřní omítky stropů v místech vybouraných konstrukcí - Soecifikace dle PD</t>
  </si>
  <si>
    <t xml:space="preserve">" Oprava / provedení omítek stěn v místě po vybouraných konstrukcích - v místech a ploše plošného přisekání zdiva.
 Uvažována omítka VC štuková. " </t>
  </si>
  <si>
    <t>" V ceně také očištění, příprava po vybouraném zdivu / přisekání, zajištění napojení na stávající omítky a další práce a příslušenství související s provedením omítky.  
V ceně také přesun hmot. "</t>
  </si>
  <si>
    <t>" 3. NP - pro tl. do 100 mm " 0,67+0,34+5,43+1,66</t>
  </si>
  <si>
    <t>" 3. NP - pro tl. do 150 mm " 0,37</t>
  </si>
  <si>
    <t>" 3. NP - pro tl. do 300 mm " 1,07+1,61+9,65+2,01</t>
  </si>
  <si>
    <t>612325901 SPC</t>
  </si>
  <si>
    <t>" Případné profily při opravě omítek - rezerva 130 m " (130,0)*1,05</t>
  </si>
  <si>
    <t>005</t>
  </si>
  <si>
    <t>Ruční dočištění ploch stěn, rubu kleneb a podlah ocelových kartáči</t>
  </si>
  <si>
    <t xml:space="preserve">" Očištění horního povrchu stropní konstrukce před provedením uhlíkových lamel " </t>
  </si>
  <si>
    <t>Ruční dočištění ploch líce kleneb a podhledů ocelových kartáči</t>
  </si>
  <si>
    <t xml:space="preserve">" Očištění dolního povrchu stropní konstrukce před provedením uhlíkových lamel " </t>
  </si>
  <si>
    <t>Příplatek k očištění ploch za plochu do 10 m2 jednotlivě</t>
  </si>
  <si>
    <t>Uhlíkové lamely pro zesílení ŽB kleneb a podhledů tl do 1,4 mm modul pružnosti do 170 kN/mm2 š 60 mm</t>
  </si>
  <si>
    <t>" V ceně také lepidlo pro lepení lamel "</t>
  </si>
  <si>
    <t>985139901 SPC</t>
  </si>
  <si>
    <t xml:space="preserve">Odmaštění povrchů stropní konstrukce vč. odstranění nesouderžných vrstev </t>
  </si>
  <si>
    <t>Stěrka k vyrovnání betonových ploch líce kleneb a podhledů tl 2 mm</t>
  </si>
  <si>
    <t xml:space="preserve">" Vyrovnání případných nerovností dolního povrhu stropní konstrukce před provedením lamel  " </t>
  </si>
  <si>
    <t>Stěrka k vyrovnání betonových ploch rubu kleneb a podlah tl 2 mm</t>
  </si>
  <si>
    <t xml:space="preserve">" Vyrovnání případných nerovností horního povrhu stropní konstrukce před provedením lamel  " </t>
  </si>
  <si>
    <t>985312901 SPC</t>
  </si>
  <si>
    <t>D+M Sanace stropních desek - Specifikace dle PD</t>
  </si>
  <si>
    <t>" V ceně veškeré práce a materiál související s provedením sanace stávajících stropních desek - např. očištění, ochranný nátěr výztuže a betonu, spojovací můstek, stěrka k vyrovnání nerovností, případná reprofilace, apod. 
V ceně také ppřesun hmot a suti. "</t>
  </si>
  <si>
    <t>985999901 SPC</t>
  </si>
  <si>
    <t>Provedení protažení uhlíkové lamely skrze obezděný sloup - Specifikace dle PD</t>
  </si>
  <si>
    <t>kus</t>
  </si>
  <si>
    <t>" Protažení uhlíkové lamely mezi stropní konstrukci a vyzděným sloupem " 2</t>
  </si>
  <si>
    <t>" V ceně provedení otvoru v horní části příčky / dočasné odstranění cihel a zpětné vyzdění pro protažení, protažení lamel, případné zpětné utěsnění otvoru. V ceně také přesun hmot a suti. "</t>
  </si>
  <si>
    <t>" Lamely - horní povrch desky nad 2. NP = podlaha 3. NP " (5,6*4,0)</t>
  </si>
  <si>
    <t>" Lamely - dolní povrch desky nad 3. NP = strop 3. NP  " (1,0*6,0)</t>
  </si>
  <si>
    <t>" Příplatek k očištění povrchů stropní konstrukce před provedením uhlíkových lamel " (1,0*6,0)</t>
  </si>
  <si>
    <t>" Uhlíkové CFRP lamely 60×1,4 mm pro zesílení stropní konstrukce - dolní povrch desky nad 3. NP " (5,0*1)*1,05</t>
  </si>
  <si>
    <t>" Uhlíkové CFRP lamely 60×1,4 mm pro zesílení stropní konstrukce - horní povrch desky nad 2. NP " (4,6*3+3,0*6)*1,05</t>
  </si>
  <si>
    <t>" Odmaštění povrchů stropní konstrukce před provedením uhlíkových lamel vč. odstranění případných nesoudržných vrstev podkladu."  22,4+6,0</t>
  </si>
  <si>
    <t>" Vyrovnání pod lamely - dolní povrch desky nad 3. NP " (1,0*6,0)</t>
  </si>
  <si>
    <t>" Vyrovnání pod lamely - horní povrch desky nad 2. NP " (5,6*4,0)</t>
  </si>
  <si>
    <t>" Případné provedení zasanování stropních desek před nalepení uhlíkových lamel - uvažována plocha - 10 % z celkové plochy uvažované pro lepení lamel " (1,0+22,4)*0,1</t>
  </si>
  <si>
    <t>" POZN: V 1 ks je uvažováno protažení 1 lamely skrze celý sloup - šířku či délku. "</t>
  </si>
  <si>
    <t>" 3. NP " (21,2+2,7+11,8+30,4+5,6+5,6+5,4+5,3+5,3+1,7+5,3+5,3+5,1+1,4+5,0+4,9+4,9+4,8+4,8+4,8+6,0)+(2,25+1,0+1,8+1,3+0,7+0,7)+(5,9+2,5+1,8+2,15+1,0)</t>
  </si>
  <si>
    <t>Potažení vnitřních stěn sklovláknitým pletivem vtlačeným do tenkovrstvé hmoty</t>
  </si>
  <si>
    <t>953961901 SPC</t>
  </si>
  <si>
    <t>D+M Tažená kotva proti protlačení - Specifikace dle PD</t>
  </si>
  <si>
    <t>" Provedení tažené kotvy proti protlačení "</t>
  </si>
  <si>
    <t>" V ceně předvrtání a vyyvrtání otvorů dovrchní dl. ± 270 mm, její vyčištění / vypláchnutí / vyfoukání, rozměření, kotvy (tažné M16-8.8) vč. jejich uložení a úpravy (řezání), výplň epoxidovou lepící hmotou, dotažení a další veškeré nutné práce a materiál související s provedením tažených kotev proti protlačení. 
V ceně také přesun hmot. "</t>
  </si>
  <si>
    <t>" Tažené kotvy pro stropní desku nad 2. NP - sloup CC×C7 " 130</t>
  </si>
  <si>
    <t>" Oprášení podkladu pro malbu na nové omítky stěn - doplnění po vybourání zdiva " (22,81)</t>
  </si>
  <si>
    <t>" Malbu na nové omítky stěn - doplnění po vybourání zdiva " 22,81</t>
  </si>
  <si>
    <t>" Případný příplatek za barevnou malbu v místnostech " (766,83)+(957,49)</t>
  </si>
  <si>
    <t>" Celková plocha maleb " 1724,32</t>
  </si>
  <si>
    <t>" V ceně ocelový plech tl. 8 mm pro zakrytí, šrouby se zápustnou hlavou pro ukotvení do betonu, montáž, případná úprava okolí po zykrytí vč. úklidu a vyčištění a veškeré další nutné práce a materiál související ze zakrytím stávajících prostupů neomezujících provoz. "</t>
  </si>
  <si>
    <t>" Součástí prací každého zaslepení prostupu:
 - provedení zkosených (hrubě odšramovaných) stěn (tak, aby horní hrana byla cca o 50 mm širší);
 - vlepení trnů R 12 po 150 mm;
 - očištění a navlhčení každého otvoru - okolních hran;
 - provedení zabetonování betonem C 25/30;
 - veškeré další nutné práce - zabednění vč. stojek a odbednění, přesun hmot, suti, apod.  "</t>
  </si>
  <si>
    <t>" Případné nutné pletivo pro omítání - napojení nových omítek na stávající, apod. - 5 % z celkové plochy opravy omítech na stěny + doplnění  "</t>
  </si>
  <si>
    <t>" Pletivo pro omítky - 3. NP " (314,45+22,81)*0,05</t>
  </si>
  <si>
    <t>Zdivo z pórobetonových tvárnic na pero a drážku přes P2 do P4 do 450 kg/m3 na tenkovrstvou maltu tl 250 m</t>
  </si>
  <si>
    <t>" Dozdívka vybouraného obvodového zdiva - 3. NP " (0,3*0,5+0,3*0,65)*1,05</t>
  </si>
  <si>
    <t>Hrubá výplň rýh ve stěnách maltou jakékoli šířky rýhy</t>
  </si>
  <si>
    <t>" Hrubý zához vysekané rýhy jako podklad pro omítky "</t>
  </si>
  <si>
    <t>" Zához rýhjy pro vedení kabeláže - š. 70 mm, celková délka 40 000 mm " 0,07*40,0</t>
  </si>
  <si>
    <t>" POZN: Omítka pro rýhy neuvažována. Omítnutí uvažováno v položce s opravou omítek stěn. "</t>
  </si>
  <si>
    <t>" V ceně také úprava konstrukce po osazení dvířek. "</t>
  </si>
  <si>
    <t>763172901 SPC</t>
  </si>
  <si>
    <t>" Revizní dvířka pro vedení kabeláže do stěny / příčky "</t>
  </si>
  <si>
    <t>D+M Revizní dvířka 300×300 mm - do SDK  - Specifikace dle PD</t>
  </si>
  <si>
    <t>" 3. NP "</t>
  </si>
  <si>
    <t>751</t>
  </si>
  <si>
    <t>751999201 SPC</t>
  </si>
  <si>
    <t>D+M Potrubí měděné tvrdé  D 6,4 + Tepelná izolace tl. 13 mm - Specifikace dle PD</t>
  </si>
  <si>
    <t>" Součástí izolační pouzdra z kaučuku. Pozdro na podélném spoji opatřeno přesahem fólie se samolepící páskou. Izolace v celé délce potrubí včetně kolen a odboček "</t>
  </si>
  <si>
    <t>" V ceně veškeré příslušenství, tvarovky, systémové kotvící prvky a spojovací materiál. "</t>
  </si>
  <si>
    <t>751999205 SPC</t>
  </si>
  <si>
    <t>D+M Potrubí měděné tvrdé  D 12,7 + Tepelná izolace tl. 19 mm - Specifikace dle PD</t>
  </si>
  <si>
    <t>751999301 SPC</t>
  </si>
  <si>
    <t>Zkouška těsnosti potrubí měděné do D 35x1,5</t>
  </si>
  <si>
    <t xml:space="preserve">" Zkouška těsnosti potrubí " </t>
  </si>
  <si>
    <t>Přesun hmot procentní pro vzduchotechniku v objektech výšky do 12 m</t>
  </si>
  <si>
    <t xml:space="preserve">HZS3211 </t>
  </si>
  <si>
    <t>Hodinová zúčtovací sazba montér vzduchotechniky a chlazení</t>
  </si>
  <si>
    <t xml:space="preserve">" Stavební práce a dodávky spojené s provedením funkčního celku 751. " </t>
  </si>
  <si>
    <t>Chlazení</t>
  </si>
  <si>
    <t>" Součástí ceny také zátky pro zaslepení potrubí před napojením při províádění dalších etap. "</t>
  </si>
  <si>
    <t>" Potrubí chlazení " (5,0)*1,1</t>
  </si>
  <si>
    <t>" Zkouška těsnosti potrubí - D 6,4 (2/8") " (5,0)</t>
  </si>
  <si>
    <t>" Zkouška těsnosti potrubí - D 12,7 (4/8") " (5,0)</t>
  </si>
  <si>
    <t>" Demontáž, uskladnění, případná výměna, doplnění, dodávka a montáž prvků orientačních a bezpečnostních tabulek, poplachových směrnic.
V ceně také dočasné demontáž, uskladnění  a zpětná montáž prvků na stěnách. "</t>
  </si>
  <si>
    <t xml:space="preserve">DMTŽ+D+M Bezpečnostní tabulky vč. prvků na stěnách </t>
  </si>
  <si>
    <r>
      <t xml:space="preserve">" </t>
    </r>
    <r>
      <rPr>
        <sz val="8"/>
        <color rgb="FF0000FF"/>
        <rFont val="Arial CE"/>
        <family val="2"/>
        <charset val="238"/>
      </rPr>
      <t>Jedná se např. o:
 - Tabulky pro označení únikových cest, schodišť;
 - Tabulky pro označení zákazu vstupu nepovolaným osobám;
 - Tabulky o informacích k rozvaděčům - Pozor elektrické napětí, Hlavní vypínač, Nehas vodou ani pěnovými přístroji, apod.;
 - Tabulky pro označení hasících přístrojů;
 - Tabulky pro označení hydrantů;
 - další tabulky a informační cedule, které jsou nutné pro bezproblémový chod. "</t>
    </r>
  </si>
  <si>
    <t>" Zához rýhjy pro vedení kabeláže - š. 300 mm, celková délka 3 350 mm " 0,3*3,35</t>
  </si>
  <si>
    <t>" Případné nutné vyspravení / obezdění stávajících sloupů. "</t>
  </si>
  <si>
    <t>" Případné očištění stropů před provedením omítek / jejich opravy - uvažováno 30 % z celkové plochy opravy " 25,594+(403,98)*0,3</t>
  </si>
  <si>
    <t>985341322 RTO</t>
  </si>
  <si>
    <t>" Likvidace vybouraného materiálu - oškrábání malby. " 0,223</t>
  </si>
  <si>
    <t>Stavba:   Výstavba a modernizace fakulty informatiky a ústavu výpočetní techniky Masarykovy univerzity - 3. NP–C</t>
  </si>
  <si>
    <t>66a</t>
  </si>
  <si>
    <t>66b</t>
  </si>
  <si>
    <t>66c</t>
  </si>
  <si>
    <t>67a</t>
  </si>
  <si>
    <t>67b</t>
  </si>
  <si>
    <t>67c</t>
  </si>
  <si>
    <t>68a</t>
  </si>
  <si>
    <t>68b</t>
  </si>
  <si>
    <t>68c</t>
  </si>
  <si>
    <t>69a</t>
  </si>
  <si>
    <t>69b</t>
  </si>
  <si>
    <t>69c</t>
  </si>
  <si>
    <t>69d</t>
  </si>
  <si>
    <t>69e</t>
  </si>
  <si>
    <t>73a</t>
  </si>
  <si>
    <t>73b</t>
  </si>
  <si>
    <t>73c</t>
  </si>
  <si>
    <t>73d</t>
  </si>
  <si>
    <t>D+M Sokl po obvodě místnosti - lišta pro vložení nařezaného pásku - pro podlahu z koberce - Specifikace dle PD</t>
  </si>
  <si>
    <t>D+M Sokl po obvodě místnosti - lišta pro vložení nařezaného pásku - pro podlahu z vinylu - Specifikace dle PD</t>
  </si>
  <si>
    <t>D+M Doplnění podlahy po odstranění pokladních vrstev kabeláže a jeho provedení - Specifikace dle PD</t>
  </si>
  <si>
    <t>" Předpokládaná skladba doplnění: (od vrchní vrstvy) 
 - Litý anhydritový samonivelační potěr - uvažována třída C30 - tl. 50 mm;
 - Podlahová tepelná izolace - minerální vlna - uvažována λ = 0,033 - 0,035 W/mK - tl. 40 mm;
 - Samonivelační stěrka - tl. do 10 mm;
 - Případná úprava podkladu - vyčištění, vyrovnání, apod. "</t>
  </si>
  <si>
    <t>631999102 SPC</t>
  </si>
  <si>
    <t>" Doplnění veškerých podkladní vrstev podlahy po provedení kabeláže k podlahovým krabicím ve vytvořených drážkách / rýhách. "</t>
  </si>
  <si>
    <t>" 3. NP - doplnění podkaldních vrstev po rýhách / drážkách v podlaze pro kabeláže do podlahových krabic. "</t>
  </si>
  <si>
    <t>763111901 SPC</t>
  </si>
  <si>
    <t>D+M Příprava pro obkladový panel - vyztužení  SDK konstrukce pro jeho ukotvení - Specifikace dle PD</t>
  </si>
  <si>
    <t>" Příprava pro ukotvení obkladového panelu do SDK konstrukce - m. N03824. "</t>
  </si>
  <si>
    <t xml:space="preserve">" V ceně příprava pro ukotvení - zesílení profilů pro kotvení / dřevěné prvky (výdřeva) apod vč. veškerých nutných prvků. " </t>
  </si>
  <si>
    <t>" POZN: Samotný panel je součást Nábytkového vybavení - "D.1.5.c.01_e. VYPIS PRVKU VNITRNIHO VYBAVENI". "</t>
  </si>
  <si>
    <t>763111902 SPC</t>
  </si>
  <si>
    <t>D+M Příprava pro magnetickou skleněnou tabuli - vyztužení  SDK konstrukce pro jeho ukotvení - Specifikace dle PD</t>
  </si>
  <si>
    <t>" Příprava pro ukotvení magnetické skleněné tabule (2,5×1,1 m) do SDK kontrukce "</t>
  </si>
  <si>
    <t>" Příprava pro ukotvení obkladového panelu z DTD desky (2×0,25 m) tl. 18 mm do SDK kontrukce "</t>
  </si>
  <si>
    <t>" Příprava pro ukotvení skleněné magnetické tabule do SDK konstrukce - m. N03825. "</t>
  </si>
  <si>
    <t>" POZN: Samotná tabule je součást Nábytkového vybavení - "D.1.5.c.01_e. VYPIS PRVKU VNITRNIHO VYBAVENI". "</t>
  </si>
  <si>
    <t>763111903 SPC</t>
  </si>
  <si>
    <t>D+M Příprava pro plochou obrazovku - vyztužení  SDK konstrukce pro jeho ukotvení - Specifikace dle PD</t>
  </si>
  <si>
    <t>" Příprava pro ukotvení ploché obrazovky (cca 2,0×1,215 m) do SDK kontrukce "</t>
  </si>
  <si>
    <t>" V ceně také ukončovací , přechodové a dilatační lišty z hliníkových profilů s dilatační zónou, lepidlo, apod.
V ceně i případný okrajový pásek po obvodu mísnosti . " "</t>
  </si>
  <si>
    <t>28a</t>
  </si>
  <si>
    <t>28b</t>
  </si>
  <si>
    <t>28c</t>
  </si>
  <si>
    <t>28d</t>
  </si>
  <si>
    <t>67d</t>
  </si>
  <si>
    <t>67e</t>
  </si>
  <si>
    <t>67f</t>
  </si>
  <si>
    <t>69f</t>
  </si>
  <si>
    <t>70a</t>
  </si>
  <si>
    <t>70b</t>
  </si>
  <si>
    <t>70c</t>
  </si>
  <si>
    <t>70d</t>
  </si>
  <si>
    <t>70e</t>
  </si>
  <si>
    <t>71a</t>
  </si>
  <si>
    <t>71b</t>
  </si>
  <si>
    <t>71c</t>
  </si>
  <si>
    <t>72a</t>
  </si>
  <si>
    <t>72b</t>
  </si>
  <si>
    <t>72c</t>
  </si>
  <si>
    <t>72d</t>
  </si>
  <si>
    <t>72e</t>
  </si>
  <si>
    <t>72f</t>
  </si>
  <si>
    <t>73e</t>
  </si>
  <si>
    <t>77a</t>
  </si>
  <si>
    <t>77b</t>
  </si>
  <si>
    <t>77c</t>
  </si>
  <si>
    <t>77d</t>
  </si>
  <si>
    <t>78a</t>
  </si>
  <si>
    <t>78b</t>
  </si>
  <si>
    <t>78c</t>
  </si>
  <si>
    <t>78d</t>
  </si>
  <si>
    <t>SOUPIS PRACÍ</t>
  </si>
  <si>
    <t>POZNÁMKA: Jednotkové ceny se vepisují do řádku k položce. 
Výjimku tvoří položky rozagregované na více podpoložek pro lepší nacenění. Tam se cena vepisuje k jednotlivým podpoložkám (žluté podbarvení). Celková jednotková cena je pak vypočtena na základě jednotlivých cen podpoložek.</t>
  </si>
  <si>
    <t>" POZN: Samostatná omítka na otvory neuvažována. Plocha uvažována v opravě omítek stěn. "</t>
  </si>
  <si>
    <t>" Akkustický stěnový obklad.
MDF laminovaná deska se zadní akustickou černou tkaninou s perforovaným povrchem.
Provedení na pero a drážku.
Rozměr panelu: 2430×160×16 mm. "</t>
  </si>
  <si>
    <t>" Celkový předpokládaný počet takovýchto otvorů je:
- Podlaha 3. NP – 24 ks → Celková potřeba ocelového plechu = max 3,0 m2
- Strop nad 3. NP – 15 ks → Celková potřeba ocelového plechu = max 2,0 m2
- Předpokládané maximální množství betonu pro vyplnění prostupů šířka nad 200 mm dle PD, uvažováno jen pro betonáž v úrovni podlahy 3. NP – 0,2 m3. "</t>
  </si>
  <si>
    <r>
      <t xml:space="preserve">" Zakrytí nevyužívaných prostupů v podlaze </t>
    </r>
    <r>
      <rPr>
        <sz val="8"/>
        <color rgb="FFFF0000"/>
        <rFont val="Arial CE"/>
        <family val="2"/>
        <charset val="238"/>
      </rPr>
      <t>3. NP</t>
    </r>
    <r>
      <rPr>
        <sz val="8"/>
        <color indexed="12"/>
        <rFont val="Arial CE"/>
        <family val="2"/>
        <charset val="238"/>
      </rPr>
      <t xml:space="preserve">  </t>
    </r>
    <r>
      <rPr>
        <sz val="8"/>
        <color rgb="FFFF0000"/>
        <rFont val="Arial CE"/>
        <family val="2"/>
        <charset val="238"/>
      </rPr>
      <t>a stropu nad 3. NP</t>
    </r>
    <r>
      <rPr>
        <sz val="8"/>
        <color indexed="12"/>
        <rFont val="Arial CE"/>
        <family val="2"/>
        <charset val="238"/>
      </rPr>
      <t>. "</t>
    </r>
  </si>
  <si>
    <r>
      <t xml:space="preserve">D+M Zakrytí nevyužívaných prostupů v podlaze </t>
    </r>
    <r>
      <rPr>
        <sz val="8"/>
        <color rgb="FFFF0000"/>
        <rFont val="Arial CE"/>
        <family val="2"/>
        <charset val="238"/>
      </rPr>
      <t>3. NP   a stropu nad 3. NP</t>
    </r>
    <r>
      <rPr>
        <sz val="8"/>
        <rFont val="Arial CE"/>
        <family val="2"/>
        <charset val="238"/>
      </rPr>
      <t xml:space="preserve"> - Specifikace dle PD</t>
    </r>
  </si>
  <si>
    <t>" V ceně také beton pro případné zakrytí otvorů šířky vyšší než 200 mm.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</si>
</sst>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K_č_-;\-* #,##0.00\ _K_č_-;_-* &quot;-&quot;??\ _K_č_-;_-@_-"/>
    <numFmt numFmtId="165" formatCode="#,##0.000;\-#,##0.000"/>
    <numFmt numFmtId="166" formatCode="#,##0.00_ ;\-#,##0.00\ "/>
    <numFmt numFmtId="167" formatCode="####;\-####"/>
    <numFmt numFmtId="168" formatCode="#,##0.0"/>
    <numFmt numFmtId="169" formatCode="#,##0\ "/>
    <numFmt numFmtId="170" formatCode="_-* #,##0.00\ _K_č_-;\-* #,##0.00\ _K_č_-;_-* \-??\ _K_č_-;_-@_-"/>
    <numFmt numFmtId="171" formatCode="d/mm"/>
    <numFmt numFmtId="172" formatCode="#,##0_ ;\-#,##0\ "/>
  </numFmts>
  <fonts count="1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b/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sz val="8"/>
      <color indexed="12"/>
      <name val="MS Sans Serif"/>
      <family val="2"/>
      <charset val="238"/>
    </font>
    <font>
      <sz val="8"/>
      <color rgb="FF0000FF"/>
      <name val="Arial CE"/>
      <family val="2"/>
      <charset val="238"/>
    </font>
    <font>
      <sz val="8"/>
      <color indexed="10"/>
      <name val="MS Sans Serif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u/>
      <sz val="8"/>
      <name val="Arial"/>
      <family val="2"/>
      <charset val="238"/>
    </font>
    <font>
      <sz val="8"/>
      <color indexed="10"/>
      <name val="Arial CE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8"/>
      <color rgb="FFFF0000"/>
      <name val="Arial CE"/>
      <family val="2"/>
      <charset val="238"/>
    </font>
    <font>
      <b/>
      <sz val="8"/>
      <color rgb="FFFF0000"/>
      <name val="MS Sans Serif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charset val="238"/>
      <scheme val="minor"/>
    </font>
    <font>
      <b/>
      <sz val="8"/>
      <color rgb="FF7030A0"/>
      <name val="MS Sans Serif"/>
      <family val="2"/>
    </font>
    <font>
      <sz val="8.5"/>
      <name val="MS Sans Serif"/>
      <family val="2"/>
    </font>
    <font>
      <b/>
      <sz val="10"/>
      <color rgb="FFFF0000"/>
      <name val="MS Sans Serif"/>
      <family val="2"/>
    </font>
    <font>
      <b/>
      <sz val="8"/>
      <color rgb="FFFF0000"/>
      <name val="MS Sans Serif"/>
      <family val="2"/>
    </font>
    <font>
      <b/>
      <sz val="11"/>
      <color rgb="FFFF0000"/>
      <name val="MS Sans Serif"/>
      <family val="2"/>
    </font>
    <font>
      <sz val="8"/>
      <name val="MS Sans Serif"/>
      <family val="2"/>
    </font>
    <font>
      <i/>
      <sz val="8"/>
      <name val="Arial CE"/>
      <family val="2"/>
      <charset val="238"/>
    </font>
    <font>
      <i/>
      <sz val="8"/>
      <color indexed="12"/>
      <name val="Arial CE"/>
      <family val="2"/>
      <charset val="238"/>
    </font>
    <font>
      <b/>
      <sz val="12"/>
      <color rgb="FFFF0000"/>
      <name val="MS Sans Serif"/>
      <family val="2"/>
    </font>
    <font>
      <i/>
      <sz val="8"/>
      <color rgb="FF0000FF"/>
      <name val="Arial CE"/>
      <family val="2"/>
      <charset val="238"/>
    </font>
    <font>
      <sz val="8"/>
      <color rgb="FFFF0000"/>
      <name val="MS Sans Serif"/>
      <family val="2"/>
      <charset val="238"/>
    </font>
    <font>
      <b/>
      <sz val="11"/>
      <color rgb="FFFF0000"/>
      <name val="Arial CE"/>
      <family val="2"/>
      <charset val="238"/>
    </font>
    <font>
      <u/>
      <sz val="11"/>
      <color theme="10"/>
      <name val="Calibri"/>
      <family val="2"/>
    </font>
    <font>
      <b/>
      <sz val="8"/>
      <name val="MS Sans Serif"/>
      <family val="2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u/>
      <sz val="8"/>
      <color theme="10"/>
      <name val="MS Sans Serif"/>
      <family val="2"/>
    </font>
    <font>
      <u/>
      <sz val="11"/>
      <color theme="10"/>
      <name val="Calibri"/>
      <family val="2"/>
      <charset val="238"/>
    </font>
    <font>
      <b/>
      <sz val="20"/>
      <name val="Arial"/>
      <family val="2"/>
      <charset val="238"/>
    </font>
    <font>
      <sz val="10"/>
      <name val="Times New Roman CE"/>
      <family val="1"/>
      <charset val="238"/>
    </font>
    <font>
      <b/>
      <sz val="10"/>
      <name val="MS Sans Serif"/>
      <family val="2"/>
    </font>
    <font>
      <b/>
      <sz val="11"/>
      <color rgb="FFFF0000"/>
      <name val="Trebuchet MS"/>
      <family val="2"/>
      <charset val="238"/>
    </font>
    <font>
      <b/>
      <sz val="8.5"/>
      <color rgb="FFFF0000"/>
      <name val="MS Sans Serif"/>
      <family val="2"/>
    </font>
    <font>
      <sz val="8"/>
      <color indexed="54"/>
      <name val="Arial CE"/>
      <family val="2"/>
      <charset val="238"/>
    </font>
    <font>
      <i/>
      <sz val="8"/>
      <name val="MS Sans Serif"/>
      <family val="2"/>
    </font>
    <font>
      <b/>
      <sz val="13.5"/>
      <color rgb="FFFF0000"/>
      <name val="MS Sans Serif"/>
      <family val="2"/>
    </font>
    <font>
      <b/>
      <i/>
      <sz val="11"/>
      <color rgb="FFFF0000"/>
      <name val="Calibri"/>
      <family val="2"/>
      <charset val="238"/>
      <scheme val="minor"/>
    </font>
    <font>
      <b/>
      <u/>
      <sz val="8"/>
      <color indexed="10"/>
      <name val="Arial"/>
      <family val="2"/>
      <charset val="238"/>
    </font>
    <font>
      <b/>
      <sz val="10"/>
      <color rgb="FFFF0000"/>
      <name val="Arial CE"/>
      <family val="2"/>
      <charset val="238"/>
    </font>
    <font>
      <b/>
      <sz val="10"/>
      <color indexed="10"/>
      <name val="MS Sans Serif"/>
      <family val="2"/>
    </font>
    <font>
      <i/>
      <sz val="8.5"/>
      <name val="MS Sans Serif"/>
      <family val="2"/>
    </font>
    <font>
      <b/>
      <i/>
      <sz val="10"/>
      <color rgb="FFFF0000"/>
      <name val="MS Sans Serif"/>
      <family val="2"/>
    </font>
    <font>
      <b/>
      <i/>
      <sz val="8"/>
      <color rgb="FFFF0000"/>
      <name val="MS Sans Serif"/>
      <family val="2"/>
    </font>
    <font>
      <b/>
      <i/>
      <sz val="11"/>
      <color rgb="FFFF0000"/>
      <name val="MS Sans Serif"/>
      <family val="2"/>
    </font>
    <font>
      <b/>
      <sz val="8"/>
      <color indexed="10"/>
      <name val="MS Sans Serif"/>
      <family val="2"/>
    </font>
    <font>
      <b/>
      <sz val="11"/>
      <color indexed="10"/>
      <name val="MS Sans Serif"/>
      <family val="2"/>
    </font>
    <font>
      <b/>
      <sz val="8.5"/>
      <color indexed="10"/>
      <name val="MS Sans Serif"/>
      <family val="2"/>
    </font>
    <font>
      <b/>
      <sz val="12"/>
      <color indexed="10"/>
      <name val="MS Sans Serif"/>
      <family val="2"/>
    </font>
    <font>
      <sz val="12"/>
      <name val="MS Sans Serif"/>
      <family val="2"/>
    </font>
    <font>
      <b/>
      <sz val="10"/>
      <color rgb="FF0000FF"/>
      <name val="Arial CE"/>
      <family val="2"/>
      <charset val="238"/>
    </font>
    <font>
      <b/>
      <sz val="8"/>
      <color indexed="36"/>
      <name val="MS Sans Serif"/>
      <family val="2"/>
    </font>
    <font>
      <b/>
      <sz val="8"/>
      <color indexed="21"/>
      <name val="Arial"/>
      <family val="2"/>
      <charset val="238"/>
    </font>
    <font>
      <b/>
      <sz val="10"/>
      <color rgb="FFFF0000"/>
      <name val="MS Sans Serif"/>
      <charset val="238"/>
    </font>
    <font>
      <b/>
      <sz val="11"/>
      <color rgb="FFFF0000"/>
      <name val="MS Sans Serif"/>
      <charset val="238"/>
    </font>
    <font>
      <b/>
      <sz val="12"/>
      <color rgb="FFFF0000"/>
      <name val="MS Sans Serif"/>
      <charset val="238"/>
    </font>
    <font>
      <i/>
      <sz val="11"/>
      <color theme="1"/>
      <name val="Calibri"/>
      <family val="2"/>
      <scheme val="minor"/>
    </font>
    <font>
      <b/>
      <sz val="9"/>
      <color rgb="FFFF0000"/>
      <name val="MS Sans Serif"/>
      <charset val="238"/>
    </font>
    <font>
      <sz val="8"/>
      <name val="MS Sans Serif"/>
      <charset val="1"/>
    </font>
    <font>
      <b/>
      <sz val="16"/>
      <color rgb="FFFF0000"/>
      <name val="MS Sans Serif"/>
      <charset val="238"/>
    </font>
    <font>
      <sz val="11"/>
      <color theme="1"/>
      <name val="Calibri"/>
      <family val="2"/>
      <scheme val="minor"/>
    </font>
    <font>
      <b/>
      <sz val="8"/>
      <name val="MS Sans Serif"/>
      <charset val="238"/>
    </font>
    <font>
      <b/>
      <sz val="9"/>
      <name val="MS Sans Serif"/>
      <charset val="238"/>
    </font>
    <font>
      <b/>
      <sz val="18"/>
      <color rgb="FFFF0000"/>
      <name val="Calibri"/>
      <family val="2"/>
      <charset val="238"/>
      <scheme val="minor"/>
    </font>
    <font>
      <b/>
      <sz val="13.5"/>
      <color rgb="FFFF0000"/>
      <name val="MS Sans Serif"/>
      <charset val="238"/>
    </font>
    <font>
      <sz val="13.5"/>
      <name val="MS Sans Serif"/>
      <family val="2"/>
    </font>
    <font>
      <b/>
      <sz val="12"/>
      <color rgb="FFFF0000"/>
      <name val="MS Sans Serif"/>
      <family val="2"/>
      <charset val="238"/>
    </font>
    <font>
      <b/>
      <sz val="10"/>
      <color rgb="FFFF0000"/>
      <name val="MS Sans Serif"/>
      <family val="2"/>
      <charset val="238"/>
    </font>
    <font>
      <b/>
      <sz val="11"/>
      <color indexed="10"/>
      <name val="Trebuchet MS"/>
      <family val="2"/>
      <charset val="238"/>
    </font>
    <font>
      <b/>
      <sz val="11"/>
      <color rgb="FFFF0000"/>
      <name val="MS Sans Serif"/>
      <family val="2"/>
      <charset val="238"/>
    </font>
    <font>
      <b/>
      <sz val="11"/>
      <name val="MS Sans Serif"/>
      <family val="2"/>
      <charset val="238"/>
    </font>
    <font>
      <sz val="12"/>
      <color theme="1"/>
      <name val="Calibri"/>
      <family val="2"/>
      <scheme val="minor"/>
    </font>
    <font>
      <b/>
      <sz val="8"/>
      <color rgb="FFFF0000"/>
      <name val="MS Sans Serif"/>
      <charset val="238"/>
    </font>
    <font>
      <b/>
      <sz val="8"/>
      <color rgb="FFFF000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8"/>
      <color rgb="FF0000FF"/>
      <name val="Book Antiqua"/>
      <family val="1"/>
      <charset val="238"/>
    </font>
    <font>
      <b/>
      <sz val="11"/>
      <name val="Calibri"/>
      <family val="2"/>
      <charset val="238"/>
      <scheme val="minor"/>
    </font>
    <font>
      <sz val="8"/>
      <color rgb="FFFF0000"/>
      <name val="Trebuchet MS"/>
      <family val="2"/>
    </font>
    <font>
      <b/>
      <sz val="10"/>
      <color rgb="FFFF0000"/>
      <name val="Trebuchet MS"/>
      <family val="2"/>
      <charset val="238"/>
    </font>
    <font>
      <b/>
      <sz val="12"/>
      <color theme="1"/>
      <name val="Calibri"/>
      <family val="2"/>
      <scheme val="minor"/>
    </font>
    <font>
      <sz val="9"/>
      <color rgb="FFFF0000"/>
      <name val="Arial CE"/>
      <family val="2"/>
      <charset val="238"/>
    </font>
    <font>
      <b/>
      <sz val="11"/>
      <name val="Calibri"/>
      <family val="2"/>
      <charset val="238"/>
    </font>
    <font>
      <b/>
      <sz val="11"/>
      <color indexed="10"/>
      <name val="Calibri"/>
      <family val="2"/>
      <charset val="238"/>
    </font>
    <font>
      <u/>
      <sz val="8"/>
      <color theme="10"/>
      <name val="MS Sans Serif"/>
      <family val="2"/>
      <charset val="238"/>
    </font>
    <font>
      <sz val="8"/>
      <name val="Trebuchet MS"/>
      <family val="2"/>
    </font>
    <font>
      <b/>
      <sz val="11"/>
      <color rgb="FFFF0000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auto="1"/>
      </left>
      <right/>
      <top/>
      <bottom/>
      <diagonal/>
    </border>
  </borders>
  <cellStyleXfs count="92">
    <xf numFmtId="0" fontId="0" fillId="0" borderId="0"/>
    <xf numFmtId="0" fontId="13" fillId="0" borderId="0"/>
    <xf numFmtId="0" fontId="10" fillId="0" borderId="0" applyAlignment="0">
      <alignment vertical="top" wrapText="1"/>
      <protection locked="0"/>
    </xf>
    <xf numFmtId="0" fontId="15" fillId="0" borderId="0" applyFill="0" applyBorder="0" applyProtection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6" fillId="0" borderId="0"/>
    <xf numFmtId="0" fontId="10" fillId="0" borderId="0" applyAlignment="0">
      <alignment vertical="top" wrapText="1"/>
      <protection locked="0"/>
    </xf>
    <xf numFmtId="0" fontId="17" fillId="0" borderId="0"/>
    <xf numFmtId="0" fontId="18" fillId="0" borderId="0" applyFont="0" applyFill="0" applyBorder="0" applyAlignment="0" applyProtection="0"/>
    <xf numFmtId="0" fontId="16" fillId="0" borderId="0"/>
    <xf numFmtId="0" fontId="19" fillId="0" borderId="0"/>
    <xf numFmtId="0" fontId="13" fillId="0" borderId="0"/>
    <xf numFmtId="0" fontId="16" fillId="0" borderId="0"/>
    <xf numFmtId="0" fontId="10" fillId="0" borderId="0" applyAlignment="0">
      <alignment vertical="top" wrapText="1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39" fillId="0" borderId="0" applyAlignment="0">
      <alignment vertical="top" wrapText="1"/>
      <protection locked="0"/>
    </xf>
    <xf numFmtId="168" fontId="48" fillId="0" borderId="0" applyAlignment="0">
      <alignment horizontal="right" wrapText="1"/>
    </xf>
    <xf numFmtId="4" fontId="48" fillId="0" borderId="0" applyBorder="0" applyAlignment="0">
      <alignment horizontal="right" wrapText="1"/>
    </xf>
    <xf numFmtId="0" fontId="48" fillId="0" borderId="0">
      <alignment horizontal="right" wrapText="1"/>
    </xf>
    <xf numFmtId="169" fontId="48" fillId="0" borderId="0" applyFont="0" applyFill="0" applyBorder="0">
      <alignment horizontal="right" vertical="center"/>
    </xf>
    <xf numFmtId="164" fontId="16" fillId="0" borderId="0" applyFont="0" applyFill="0" applyBorder="0" applyAlignment="0" applyProtection="0"/>
    <xf numFmtId="170" fontId="16" fillId="0" borderId="0" applyFill="0" applyBorder="0" applyAlignment="0" applyProtection="0"/>
    <xf numFmtId="170" fontId="16" fillId="0" borderId="0" applyFill="0" applyBorder="0" applyAlignment="0" applyProtection="0"/>
    <xf numFmtId="164" fontId="16" fillId="0" borderId="0" applyFill="0" applyBorder="0" applyAlignment="0" applyProtection="0"/>
    <xf numFmtId="164" fontId="16" fillId="0" borderId="0" applyFill="0" applyBorder="0" applyAlignment="0" applyProtection="0"/>
    <xf numFmtId="170" fontId="13" fillId="0" borderId="0" applyFill="0" applyBorder="0" applyAlignment="0" applyProtection="0"/>
    <xf numFmtId="170" fontId="16" fillId="0" borderId="0" applyFill="0" applyBorder="0" applyAlignment="0" applyProtection="0"/>
    <xf numFmtId="170" fontId="16" fillId="0" borderId="0" applyFill="0" applyBorder="0" applyAlignment="0" applyProtection="0"/>
    <xf numFmtId="164" fontId="16" fillId="0" borderId="0" applyFill="0" applyBorder="0" applyAlignment="0" applyProtection="0"/>
    <xf numFmtId="0" fontId="49" fillId="0" borderId="0">
      <alignment horizontal="center" vertical="center" wrapText="1"/>
    </xf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2" fillId="0" borderId="0">
      <alignment horizontal="left"/>
    </xf>
    <xf numFmtId="0" fontId="2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39" fillId="0" borderId="0" applyAlignment="0">
      <alignment vertical="top" wrapText="1"/>
      <protection locked="0"/>
    </xf>
    <xf numFmtId="0" fontId="16" fillId="0" borderId="0"/>
    <xf numFmtId="0" fontId="13" fillId="0" borderId="0"/>
    <xf numFmtId="0" fontId="13" fillId="0" borderId="0"/>
    <xf numFmtId="169" fontId="13" fillId="0" borderId="0">
      <alignment vertical="center"/>
    </xf>
    <xf numFmtId="169" fontId="13" fillId="0" borderId="0">
      <alignment vertical="center"/>
    </xf>
    <xf numFmtId="169" fontId="13" fillId="0" borderId="0">
      <alignment vertical="center"/>
    </xf>
    <xf numFmtId="169" fontId="13" fillId="0" borderId="0">
      <alignment vertical="center"/>
    </xf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2" fillId="0" borderId="0"/>
    <xf numFmtId="0" fontId="2" fillId="0" borderId="0"/>
    <xf numFmtId="0" fontId="53" fillId="0" borderId="0">
      <protection locked="0"/>
    </xf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 applyAlignment="0">
      <alignment vertical="top" wrapText="1"/>
      <protection locked="0"/>
    </xf>
    <xf numFmtId="0" fontId="6" fillId="0" borderId="9">
      <alignment horizontal="center" vertical="center" wrapText="1"/>
    </xf>
    <xf numFmtId="171" fontId="13" fillId="0" borderId="0">
      <alignment horizontal="center" vertical="center"/>
    </xf>
    <xf numFmtId="171" fontId="13" fillId="0" borderId="0">
      <alignment horizontal="center" vertical="center"/>
    </xf>
    <xf numFmtId="9" fontId="16" fillId="0" borderId="0" applyFill="0" applyBorder="0" applyAlignment="0" applyProtection="0"/>
    <xf numFmtId="0" fontId="16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81" fillId="0" borderId="0" applyAlignment="0">
      <alignment vertical="top" wrapText="1"/>
      <protection locked="0"/>
    </xf>
    <xf numFmtId="0" fontId="83" fillId="0" borderId="0"/>
    <xf numFmtId="0" fontId="106" fillId="0" borderId="0" applyNumberFormat="0" applyFill="0" applyBorder="0" applyAlignment="0" applyProtection="0">
      <alignment vertical="top" wrapText="1"/>
      <protection locked="0"/>
    </xf>
    <xf numFmtId="0" fontId="10" fillId="0" borderId="0" applyAlignment="0">
      <alignment vertical="top" wrapText="1"/>
      <protection locked="0"/>
    </xf>
    <xf numFmtId="0" fontId="13" fillId="0" borderId="0"/>
  </cellStyleXfs>
  <cellXfs count="470">
    <xf numFmtId="0" fontId="0" fillId="0" borderId="0" xfId="0"/>
    <xf numFmtId="0" fontId="5" fillId="0" borderId="0" xfId="0" applyFont="1" applyAlignment="1">
      <alignment horizontal="left"/>
    </xf>
    <xf numFmtId="0" fontId="5" fillId="0" borderId="0" xfId="2" applyFont="1" applyAlignment="1" applyProtection="1">
      <alignment horizontal="left"/>
    </xf>
    <xf numFmtId="0" fontId="4" fillId="0" borderId="0" xfId="2" applyFont="1" applyAlignment="1" applyProtection="1">
      <alignment horizontal="left"/>
    </xf>
    <xf numFmtId="167" fontId="6" fillId="0" borderId="6" xfId="2" applyNumberFormat="1" applyFont="1" applyBorder="1" applyAlignment="1" applyProtection="1">
      <alignment horizontal="center" vertical="center"/>
    </xf>
    <xf numFmtId="167" fontId="6" fillId="0" borderId="7" xfId="2" applyNumberFormat="1" applyFont="1" applyBorder="1" applyAlignment="1" applyProtection="1">
      <alignment horizontal="center" vertical="center"/>
    </xf>
    <xf numFmtId="0" fontId="23" fillId="0" borderId="2" xfId="2" applyFont="1" applyBorder="1" applyAlignment="1" applyProtection="1">
      <alignment horizontal="center" vertical="center"/>
    </xf>
    <xf numFmtId="0" fontId="23" fillId="0" borderId="2" xfId="2" applyFont="1" applyBorder="1" applyAlignment="1" applyProtection="1">
      <alignment horizontal="left" vertical="center"/>
    </xf>
    <xf numFmtId="0" fontId="25" fillId="0" borderId="2" xfId="2" applyFont="1" applyBorder="1" applyAlignment="1" applyProtection="1">
      <alignment horizontal="left" vertical="center"/>
    </xf>
    <xf numFmtId="0" fontId="6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 wrapText="1"/>
    </xf>
    <xf numFmtId="0" fontId="6" fillId="0" borderId="2" xfId="0" applyFont="1" applyBorder="1" applyAlignment="1">
      <alignment horizontal="left" shrinkToFit="1"/>
    </xf>
    <xf numFmtId="0" fontId="6" fillId="0" borderId="0" xfId="2" applyFont="1" applyAlignment="1" applyProtection="1">
      <alignment horizontal="left"/>
    </xf>
    <xf numFmtId="0" fontId="45" fillId="0" borderId="0" xfId="2" applyFont="1" applyAlignment="1" applyProtection="1">
      <alignment horizontal="center"/>
    </xf>
    <xf numFmtId="0" fontId="7" fillId="2" borderId="1" xfId="2" applyFont="1" applyFill="1" applyBorder="1" applyAlignment="1" applyProtection="1">
      <alignment horizontal="center" vertical="center" wrapText="1"/>
    </xf>
    <xf numFmtId="0" fontId="6" fillId="0" borderId="0" xfId="42" applyFont="1" applyAlignment="1" applyProtection="1">
      <alignment horizontal="left"/>
    </xf>
    <xf numFmtId="0" fontId="4" fillId="0" borderId="0" xfId="42" applyFont="1" applyAlignment="1" applyProtection="1">
      <alignment horizontal="left"/>
    </xf>
    <xf numFmtId="0" fontId="39" fillId="0" borderId="0" xfId="42" applyAlignment="1" applyProtection="1"/>
    <xf numFmtId="0" fontId="45" fillId="0" borderId="0" xfId="42" applyFont="1" applyAlignment="1" applyProtection="1">
      <alignment horizontal="center" vertical="center"/>
    </xf>
    <xf numFmtId="0" fontId="3" fillId="2" borderId="0" xfId="85" applyFont="1" applyFill="1" applyAlignment="1">
      <alignment horizontal="left"/>
    </xf>
    <xf numFmtId="0" fontId="4" fillId="2" borderId="0" xfId="85" applyFont="1" applyFill="1" applyAlignment="1">
      <alignment horizontal="left"/>
    </xf>
    <xf numFmtId="0" fontId="19" fillId="0" borderId="0" xfId="85"/>
    <xf numFmtId="0" fontId="61" fillId="0" borderId="2" xfId="2" applyFont="1" applyBorder="1" applyAlignment="1" applyProtection="1">
      <alignment horizontal="left"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 wrapText="1"/>
    </xf>
    <xf numFmtId="0" fontId="13" fillId="0" borderId="13" xfId="2" applyFont="1" applyBorder="1" applyAlignment="1" applyProtection="1">
      <alignment horizontal="center" vertical="center" wrapText="1"/>
    </xf>
    <xf numFmtId="0" fontId="6" fillId="0" borderId="0" xfId="41" applyFont="1" applyAlignment="1">
      <alignment horizontal="left"/>
    </xf>
    <xf numFmtId="0" fontId="24" fillId="0" borderId="2" xfId="2" applyFont="1" applyBorder="1" applyAlignment="1" applyProtection="1">
      <alignment horizontal="center" vertical="center"/>
    </xf>
    <xf numFmtId="0" fontId="24" fillId="0" borderId="2" xfId="2" applyFont="1" applyBorder="1" applyAlignment="1" applyProtection="1">
      <alignment horizontal="left" vertical="center"/>
    </xf>
    <xf numFmtId="0" fontId="0" fillId="0" borderId="0" xfId="0" applyAlignment="1">
      <alignment vertical="center"/>
    </xf>
    <xf numFmtId="0" fontId="75" fillId="0" borderId="2" xfId="2" applyFont="1" applyBorder="1" applyAlignment="1" applyProtection="1">
      <alignment horizontal="center" vertical="center"/>
    </xf>
    <xf numFmtId="0" fontId="75" fillId="0" borderId="2" xfId="2" applyFont="1" applyBorder="1" applyAlignment="1" applyProtection="1">
      <alignment horizontal="left" vertical="center"/>
    </xf>
    <xf numFmtId="4" fontId="6" fillId="0" borderId="2" xfId="0" applyNumberFormat="1" applyFont="1" applyBorder="1" applyAlignment="1">
      <alignment shrinkToFit="1"/>
    </xf>
    <xf numFmtId="0" fontId="28" fillId="0" borderId="2" xfId="0" applyFont="1" applyBorder="1" applyAlignment="1">
      <alignment horizontal="left"/>
    </xf>
    <xf numFmtId="0" fontId="21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2" fontId="8" fillId="0" borderId="2" xfId="0" applyNumberFormat="1" applyFont="1" applyBorder="1" applyAlignment="1">
      <alignment horizontal="right"/>
    </xf>
    <xf numFmtId="0" fontId="0" fillId="0" borderId="2" xfId="0" applyBorder="1" applyAlignment="1">
      <alignment horizontal="left" vertical="top"/>
    </xf>
    <xf numFmtId="49" fontId="6" fillId="0" borderId="2" xfId="0" applyNumberFormat="1" applyFont="1" applyBorder="1" applyAlignment="1">
      <alignment horizontal="left" wrapText="1"/>
    </xf>
    <xf numFmtId="2" fontId="9" fillId="0" borderId="2" xfId="0" applyNumberFormat="1" applyFont="1" applyBorder="1" applyAlignment="1">
      <alignment horizontal="right"/>
    </xf>
    <xf numFmtId="0" fontId="0" fillId="0" borderId="0" xfId="0" applyAlignment="1">
      <alignment wrapText="1"/>
    </xf>
    <xf numFmtId="3" fontId="6" fillId="0" borderId="2" xfId="0" applyNumberFormat="1" applyFont="1" applyBorder="1" applyAlignment="1">
      <alignment horizontal="right"/>
    </xf>
    <xf numFmtId="4" fontId="23" fillId="0" borderId="2" xfId="2" applyNumberFormat="1" applyFont="1" applyBorder="1" applyAlignment="1" applyProtection="1">
      <alignment horizontal="right" vertical="center"/>
    </xf>
    <xf numFmtId="4" fontId="24" fillId="0" borderId="2" xfId="2" applyNumberFormat="1" applyFont="1" applyBorder="1" applyAlignment="1" applyProtection="1">
      <alignment horizontal="right" vertical="center"/>
    </xf>
    <xf numFmtId="4" fontId="75" fillId="0" borderId="2" xfId="2" applyNumberFormat="1" applyFont="1" applyBorder="1" applyAlignment="1" applyProtection="1">
      <alignment horizontal="right" vertical="center"/>
    </xf>
    <xf numFmtId="4" fontId="61" fillId="0" borderId="2" xfId="2" applyNumberFormat="1" applyFont="1" applyBorder="1" applyAlignment="1" applyProtection="1">
      <alignment horizontal="right" vertical="center"/>
    </xf>
    <xf numFmtId="4" fontId="9" fillId="0" borderId="2" xfId="0" applyNumberFormat="1" applyFont="1" applyBorder="1" applyAlignment="1">
      <alignment horizontal="right"/>
    </xf>
    <xf numFmtId="4" fontId="6" fillId="0" borderId="2" xfId="0" applyNumberFormat="1" applyFont="1" applyBorder="1" applyAlignment="1">
      <alignment horizontal="right"/>
    </xf>
    <xf numFmtId="4" fontId="40" fillId="0" borderId="2" xfId="0" applyNumberFormat="1" applyFont="1" applyBorder="1" applyAlignment="1">
      <alignment shrinkToFit="1"/>
    </xf>
    <xf numFmtId="0" fontId="3" fillId="0" borderId="0" xfId="10" applyFont="1" applyAlignment="1" applyProtection="1">
      <alignment horizontal="left"/>
    </xf>
    <xf numFmtId="0" fontId="27" fillId="0" borderId="2" xfId="0" applyFont="1" applyBorder="1" applyAlignment="1">
      <alignment horizontal="right" vertical="center"/>
    </xf>
    <xf numFmtId="0" fontId="86" fillId="0" borderId="2" xfId="0" applyFont="1" applyBorder="1" applyAlignment="1">
      <alignment horizontal="right" vertical="center"/>
    </xf>
    <xf numFmtId="0" fontId="5" fillId="0" borderId="0" xfId="2" applyFont="1" applyAlignment="1" applyProtection="1"/>
    <xf numFmtId="0" fontId="46" fillId="0" borderId="0" xfId="18" applyFill="1" applyAlignment="1" applyProtection="1"/>
    <xf numFmtId="0" fontId="5" fillId="0" borderId="0" xfId="2" applyFont="1" applyAlignment="1" applyProtection="1">
      <alignment horizontal="left" vertical="center"/>
    </xf>
    <xf numFmtId="0" fontId="10" fillId="0" borderId="0" xfId="17" applyAlignment="1" applyProtection="1">
      <alignment horizontal="left" vertical="top"/>
    </xf>
    <xf numFmtId="37" fontId="6" fillId="0" borderId="2" xfId="17" applyNumberFormat="1" applyFont="1" applyBorder="1" applyAlignment="1" applyProtection="1">
      <alignment horizontal="right"/>
    </xf>
    <xf numFmtId="0" fontId="6" fillId="0" borderId="2" xfId="17" applyFont="1" applyBorder="1" applyAlignment="1" applyProtection="1">
      <alignment horizontal="left" wrapText="1"/>
    </xf>
    <xf numFmtId="0" fontId="21" fillId="0" borderId="2" xfId="17" applyFont="1" applyBorder="1" applyAlignment="1" applyProtection="1">
      <alignment horizontal="left" vertical="center" wrapText="1"/>
    </xf>
    <xf numFmtId="2" fontId="6" fillId="0" borderId="2" xfId="17" applyNumberFormat="1" applyFont="1" applyBorder="1" applyAlignment="1" applyProtection="1">
      <alignment horizontal="right"/>
    </xf>
    <xf numFmtId="39" fontId="6" fillId="0" borderId="2" xfId="17" applyNumberFormat="1" applyFont="1" applyBorder="1" applyAlignment="1" applyProtection="1">
      <alignment horizontal="right"/>
    </xf>
    <xf numFmtId="39" fontId="6" fillId="0" borderId="2" xfId="17" applyNumberFormat="1" applyFont="1" applyBorder="1" applyAlignment="1" applyProtection="1">
      <alignment horizontal="center"/>
    </xf>
    <xf numFmtId="0" fontId="84" fillId="0" borderId="0" xfId="42" applyFont="1" applyAlignment="1" applyProtection="1">
      <alignment vertical="center"/>
    </xf>
    <xf numFmtId="0" fontId="29" fillId="0" borderId="0" xfId="42" applyFont="1" applyAlignment="1" applyProtection="1"/>
    <xf numFmtId="0" fontId="84" fillId="0" borderId="0" xfId="17" applyFont="1" applyAlignment="1" applyProtection="1">
      <alignment horizontal="left" vertical="top"/>
    </xf>
    <xf numFmtId="0" fontId="19" fillId="2" borderId="0" xfId="85" applyFill="1" applyAlignment="1">
      <alignment horizontal="left" vertical="top"/>
    </xf>
    <xf numFmtId="0" fontId="19" fillId="0" borderId="0" xfId="85" applyAlignment="1">
      <alignment horizontal="left" vertical="top"/>
    </xf>
    <xf numFmtId="0" fontId="39" fillId="0" borderId="0" xfId="41" applyFont="1" applyAlignment="1">
      <alignment horizontal="left" wrapText="1"/>
    </xf>
    <xf numFmtId="0" fontId="10" fillId="0" borderId="0" xfId="2" applyAlignment="1" applyProtection="1">
      <alignment vertical="top"/>
    </xf>
    <xf numFmtId="0" fontId="10" fillId="0" borderId="14" xfId="2" applyBorder="1" applyAlignment="1" applyProtection="1">
      <alignment horizontal="center" vertical="center"/>
    </xf>
    <xf numFmtId="37" fontId="10" fillId="0" borderId="0" xfId="2" applyNumberFormat="1" applyAlignment="1" applyProtection="1">
      <alignment horizontal="right" vertical="top"/>
    </xf>
    <xf numFmtId="0" fontId="10" fillId="0" borderId="0" xfId="2" applyAlignment="1" applyProtection="1">
      <alignment horizontal="left" vertical="top" wrapText="1"/>
    </xf>
    <xf numFmtId="4" fontId="10" fillId="0" borderId="0" xfId="2" applyNumberFormat="1" applyAlignment="1" applyProtection="1">
      <alignment horizontal="left" vertical="top" wrapText="1"/>
    </xf>
    <xf numFmtId="0" fontId="10" fillId="0" borderId="0" xfId="2" applyAlignment="1" applyProtection="1">
      <alignment horizontal="left" vertical="top"/>
    </xf>
    <xf numFmtId="0" fontId="39" fillId="0" borderId="0" xfId="42" applyAlignment="1" applyProtection="1">
      <alignment horizontal="left" vertical="top"/>
    </xf>
    <xf numFmtId="0" fontId="29" fillId="0" borderId="0" xfId="42" applyFont="1" applyAlignment="1" applyProtection="1">
      <alignment horizontal="left" vertical="top"/>
    </xf>
    <xf numFmtId="0" fontId="42" fillId="0" borderId="0" xfId="2" applyFont="1" applyAlignment="1" applyProtection="1">
      <alignment horizontal="left" vertical="top"/>
    </xf>
    <xf numFmtId="0" fontId="54" fillId="0" borderId="0" xfId="2" applyFont="1" applyAlignment="1" applyProtection="1">
      <alignment horizontal="left" vertical="center"/>
    </xf>
    <xf numFmtId="0" fontId="44" fillId="0" borderId="0" xfId="2" applyFont="1" applyAlignment="1" applyProtection="1">
      <alignment horizontal="left" vertical="top"/>
    </xf>
    <xf numFmtId="37" fontId="5" fillId="2" borderId="8" xfId="2" applyNumberFormat="1" applyFont="1" applyFill="1" applyBorder="1" applyAlignment="1" applyProtection="1">
      <alignment horizontal="right"/>
    </xf>
    <xf numFmtId="0" fontId="5" fillId="2" borderId="8" xfId="2" applyFont="1" applyFill="1" applyBorder="1" applyAlignment="1" applyProtection="1">
      <alignment horizontal="left" wrapText="1"/>
    </xf>
    <xf numFmtId="165" fontId="5" fillId="2" borderId="8" xfId="2" applyNumberFormat="1" applyFont="1" applyFill="1" applyBorder="1" applyAlignment="1" applyProtection="1">
      <alignment horizontal="right"/>
    </xf>
    <xf numFmtId="4" fontId="5" fillId="2" borderId="8" xfId="2" applyNumberFormat="1" applyFont="1" applyFill="1" applyBorder="1" applyAlignment="1" applyProtection="1">
      <alignment horizontal="right"/>
    </xf>
    <xf numFmtId="0" fontId="10" fillId="2" borderId="8" xfId="2" applyFill="1" applyBorder="1" applyAlignment="1" applyProtection="1">
      <alignment horizontal="left" vertical="top"/>
    </xf>
    <xf numFmtId="0" fontId="59" fillId="0" borderId="0" xfId="2" applyFont="1" applyAlignment="1" applyProtection="1">
      <alignment horizontal="left" vertical="center"/>
    </xf>
    <xf numFmtId="37" fontId="5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left" wrapText="1"/>
    </xf>
    <xf numFmtId="0" fontId="5" fillId="2" borderId="2" xfId="0" applyFont="1" applyFill="1" applyBorder="1" applyAlignment="1">
      <alignment horizontal="left" wrapText="1"/>
    </xf>
    <xf numFmtId="2" fontId="5" fillId="2" borderId="2" xfId="0" applyNumberFormat="1" applyFont="1" applyFill="1" applyBorder="1" applyAlignment="1">
      <alignment horizontal="right"/>
    </xf>
    <xf numFmtId="4" fontId="5" fillId="0" borderId="2" xfId="0" applyNumberFormat="1" applyFont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0" fontId="0" fillId="2" borderId="2" xfId="0" applyFill="1" applyBorder="1" applyAlignment="1">
      <alignment vertical="top"/>
    </xf>
    <xf numFmtId="0" fontId="55" fillId="0" borderId="0" xfId="0" applyFont="1" applyAlignment="1">
      <alignment horizontal="left" vertical="center"/>
    </xf>
    <xf numFmtId="0" fontId="39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2" fontId="6" fillId="0" borderId="2" xfId="0" applyNumberFormat="1" applyFont="1" applyBorder="1" applyAlignment="1">
      <alignment horizontal="right"/>
    </xf>
    <xf numFmtId="39" fontId="6" fillId="0" borderId="2" xfId="0" applyNumberFormat="1" applyFont="1" applyBorder="1" applyAlignment="1">
      <alignment horizontal="center"/>
    </xf>
    <xf numFmtId="0" fontId="0" fillId="0" borderId="0" xfId="0" applyAlignment="1">
      <alignment horizontal="left" vertical="center"/>
    </xf>
    <xf numFmtId="4" fontId="8" fillId="0" borderId="2" xfId="0" applyNumberFormat="1" applyFont="1" applyBorder="1" applyAlignment="1">
      <alignment horizontal="right"/>
    </xf>
    <xf numFmtId="4" fontId="96" fillId="0" borderId="2" xfId="0" applyNumberFormat="1" applyFont="1" applyBorder="1" applyAlignment="1">
      <alignment horizontal="left"/>
    </xf>
    <xf numFmtId="3" fontId="6" fillId="0" borderId="2" xfId="41" applyNumberFormat="1" applyFont="1" applyBorder="1" applyAlignment="1">
      <alignment horizontal="right"/>
    </xf>
    <xf numFmtId="0" fontId="6" fillId="0" borderId="2" xfId="19" applyFont="1" applyBorder="1" applyAlignment="1" applyProtection="1">
      <alignment horizontal="left" wrapText="1"/>
    </xf>
    <xf numFmtId="0" fontId="6" fillId="0" borderId="2" xfId="41" applyFont="1" applyBorder="1" applyAlignment="1">
      <alignment horizontal="left"/>
    </xf>
    <xf numFmtId="0" fontId="6" fillId="0" borderId="2" xfId="41" applyFont="1" applyBorder="1" applyAlignment="1">
      <alignment horizontal="left" wrapText="1"/>
    </xf>
    <xf numFmtId="0" fontId="6" fillId="0" borderId="2" xfId="41" applyFont="1" applyBorder="1" applyAlignment="1">
      <alignment horizontal="left" shrinkToFit="1"/>
    </xf>
    <xf numFmtId="4" fontId="6" fillId="0" borderId="2" xfId="41" applyNumberFormat="1" applyFont="1" applyBorder="1" applyAlignment="1">
      <alignment shrinkToFit="1"/>
    </xf>
    <xf numFmtId="4" fontId="6" fillId="0" borderId="2" xfId="41" applyNumberFormat="1" applyFont="1" applyBorder="1" applyAlignment="1">
      <alignment horizontal="right"/>
    </xf>
    <xf numFmtId="0" fontId="85" fillId="0" borderId="0" xfId="41" applyFont="1" applyAlignment="1">
      <alignment horizontal="left" vertical="center"/>
    </xf>
    <xf numFmtId="0" fontId="10" fillId="0" borderId="0" xfId="2" applyAlignment="1" applyProtection="1">
      <alignment horizontal="left" vertical="center"/>
    </xf>
    <xf numFmtId="0" fontId="39" fillId="0" borderId="0" xfId="41" applyFont="1" applyAlignment="1">
      <alignment horizontal="left" vertical="top"/>
    </xf>
    <xf numFmtId="0" fontId="0" fillId="0" borderId="0" xfId="0" applyAlignment="1">
      <alignment vertical="top"/>
    </xf>
    <xf numFmtId="2" fontId="21" fillId="0" borderId="2" xfId="0" applyNumberFormat="1" applyFont="1" applyBorder="1"/>
    <xf numFmtId="39" fontId="6" fillId="0" borderId="2" xfId="41" applyNumberFormat="1" applyFont="1" applyBorder="1" applyAlignment="1">
      <alignment horizontal="center"/>
    </xf>
    <xf numFmtId="0" fontId="80" fillId="0" borderId="0" xfId="41" applyFont="1" applyAlignment="1">
      <alignment horizontal="left" vertical="center"/>
    </xf>
    <xf numFmtId="0" fontId="5" fillId="0" borderId="2" xfId="41" applyFont="1" applyBorder="1" applyAlignment="1">
      <alignment horizontal="left" wrapText="1"/>
    </xf>
    <xf numFmtId="2" fontId="8" fillId="0" borderId="2" xfId="41" applyNumberFormat="1" applyFont="1" applyBorder="1" applyAlignment="1">
      <alignment horizontal="right"/>
    </xf>
    <xf numFmtId="3" fontId="9" fillId="0" borderId="2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left" wrapText="1"/>
    </xf>
    <xf numFmtId="0" fontId="8" fillId="0" borderId="2" xfId="19" applyFont="1" applyBorder="1" applyAlignment="1" applyProtection="1">
      <alignment horizontal="left" vertical="center" wrapText="1"/>
    </xf>
    <xf numFmtId="3" fontId="5" fillId="0" borderId="2" xfId="0" applyNumberFormat="1" applyFont="1" applyBorder="1" applyAlignment="1">
      <alignment horizontal="right"/>
    </xf>
    <xf numFmtId="0" fontId="5" fillId="0" borderId="2" xfId="2" applyFont="1" applyBorder="1" applyAlignment="1" applyProtection="1">
      <alignment horizontal="left" wrapText="1"/>
    </xf>
    <xf numFmtId="2" fontId="5" fillId="0" borderId="2" xfId="2" applyNumberFormat="1" applyFont="1" applyBorder="1" applyAlignment="1" applyProtection="1">
      <alignment horizontal="right"/>
    </xf>
    <xf numFmtId="4" fontId="5" fillId="0" borderId="2" xfId="2" applyNumberFormat="1" applyFont="1" applyBorder="1" applyAlignment="1" applyProtection="1">
      <alignment horizontal="right"/>
    </xf>
    <xf numFmtId="2" fontId="6" fillId="0" borderId="2" xfId="0" applyNumberFormat="1" applyFont="1" applyBorder="1"/>
    <xf numFmtId="39" fontId="62" fillId="0" borderId="0" xfId="10" applyNumberFormat="1" applyFont="1" applyAlignment="1" applyProtection="1">
      <alignment horizontal="left" vertical="center"/>
    </xf>
    <xf numFmtId="0" fontId="10" fillId="0" borderId="0" xfId="0" applyFont="1" applyAlignment="1">
      <alignment horizontal="left" vertical="top"/>
    </xf>
    <xf numFmtId="3" fontId="6" fillId="0" borderId="2" xfId="2" applyNumberFormat="1" applyFont="1" applyBorder="1" applyAlignment="1" applyProtection="1">
      <alignment horizontal="right"/>
    </xf>
    <xf numFmtId="39" fontId="6" fillId="0" borderId="2" xfId="2" applyNumberFormat="1" applyFont="1" applyBorder="1" applyAlignment="1" applyProtection="1">
      <alignment horizontal="center"/>
    </xf>
    <xf numFmtId="0" fontId="84" fillId="0" borderId="0" xfId="0" applyFont="1" applyAlignment="1">
      <alignment horizontal="left" vertical="center"/>
    </xf>
    <xf numFmtId="1" fontId="5" fillId="0" borderId="2" xfId="0" applyNumberFormat="1" applyFont="1" applyBorder="1" applyAlignment="1">
      <alignment horizontal="right"/>
    </xf>
    <xf numFmtId="0" fontId="8" fillId="0" borderId="2" xfId="10" applyFont="1" applyBorder="1" applyAlignment="1" applyProtection="1">
      <alignment horizontal="left" wrapText="1"/>
    </xf>
    <xf numFmtId="0" fontId="33" fillId="0" borderId="0" xfId="0" applyFont="1" applyAlignment="1">
      <alignment horizontal="left" vertical="center"/>
    </xf>
    <xf numFmtId="0" fontId="72" fillId="0" borderId="0" xfId="0" applyFont="1" applyAlignment="1">
      <alignment horizontal="left" vertical="top"/>
    </xf>
    <xf numFmtId="0" fontId="0" fillId="0" borderId="2" xfId="0" applyBorder="1" applyAlignment="1">
      <alignment horizontal="right" vertical="center"/>
    </xf>
    <xf numFmtId="2" fontId="8" fillId="0" borderId="2" xfId="10" applyNumberFormat="1" applyFont="1" applyBorder="1" applyAlignment="1" applyProtection="1">
      <alignment horizontal="right"/>
    </xf>
    <xf numFmtId="0" fontId="37" fillId="0" borderId="0" xfId="0" applyFont="1" applyAlignment="1">
      <alignment horizontal="left" vertical="center"/>
    </xf>
    <xf numFmtId="0" fontId="0" fillId="0" borderId="2" xfId="0" applyBorder="1" applyAlignment="1">
      <alignment vertical="top"/>
    </xf>
    <xf numFmtId="0" fontId="59" fillId="0" borderId="0" xfId="41" applyFont="1" applyAlignment="1">
      <alignment horizontal="left" vertical="center"/>
    </xf>
    <xf numFmtId="0" fontId="39" fillId="0" borderId="0" xfId="19" applyAlignment="1" applyProtection="1">
      <alignment horizontal="left" vertical="top"/>
    </xf>
    <xf numFmtId="0" fontId="76" fillId="0" borderId="0" xfId="0" applyFont="1" applyAlignment="1">
      <alignment horizontal="left" vertical="top"/>
    </xf>
    <xf numFmtId="0" fontId="12" fillId="0" borderId="0" xfId="2" applyFont="1" applyAlignment="1" applyProtection="1">
      <alignment horizontal="right" vertical="center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top"/>
    </xf>
    <xf numFmtId="0" fontId="87" fillId="0" borderId="0" xfId="41" applyFont="1" applyAlignment="1">
      <alignment horizontal="left" vertical="center"/>
    </xf>
    <xf numFmtId="37" fontId="6" fillId="0" borderId="2" xfId="0" applyNumberFormat="1" applyFont="1" applyBorder="1" applyAlignment="1">
      <alignment horizontal="right"/>
    </xf>
    <xf numFmtId="39" fontId="6" fillId="0" borderId="2" xfId="0" applyNumberFormat="1" applyFont="1" applyBorder="1" applyAlignment="1">
      <alignment horizontal="right"/>
    </xf>
    <xf numFmtId="0" fontId="77" fillId="0" borderId="0" xfId="0" applyFont="1" applyAlignment="1">
      <alignment horizontal="left" vertical="center"/>
    </xf>
    <xf numFmtId="0" fontId="76" fillId="0" borderId="0" xfId="0" applyFont="1" applyAlignment="1">
      <alignment horizontal="left" vertical="center"/>
    </xf>
    <xf numFmtId="3" fontId="6" fillId="0" borderId="2" xfId="10" applyNumberFormat="1" applyFont="1" applyBorder="1" applyAlignment="1" applyProtection="1">
      <alignment horizontal="right" wrapText="1"/>
    </xf>
    <xf numFmtId="49" fontId="6" fillId="0" borderId="2" xfId="10" applyNumberFormat="1" applyFont="1" applyBorder="1" applyAlignment="1" applyProtection="1">
      <alignment horizontal="left" wrapText="1"/>
    </xf>
    <xf numFmtId="0" fontId="6" fillId="0" borderId="2" xfId="10" applyFont="1" applyBorder="1" applyAlignment="1" applyProtection="1">
      <alignment horizontal="left" wrapText="1"/>
    </xf>
    <xf numFmtId="2" fontId="6" fillId="0" borderId="2" xfId="10" applyNumberFormat="1" applyFont="1" applyBorder="1" applyAlignment="1" applyProtection="1">
      <alignment horizontal="right"/>
    </xf>
    <xf numFmtId="4" fontId="6" fillId="0" borderId="2" xfId="10" applyNumberFormat="1" applyFont="1" applyBorder="1" applyAlignment="1" applyProtection="1">
      <alignment horizontal="right"/>
    </xf>
    <xf numFmtId="0" fontId="29" fillId="0" borderId="0" xfId="10" applyFont="1" applyAlignment="1" applyProtection="1">
      <alignment horizontal="left" vertical="top"/>
    </xf>
    <xf numFmtId="0" fontId="10" fillId="0" borderId="0" xfId="10" applyAlignment="1" applyProtection="1">
      <alignment horizontal="left" vertical="top"/>
    </xf>
    <xf numFmtId="39" fontId="6" fillId="0" borderId="2" xfId="40" applyNumberFormat="1" applyFont="1" applyBorder="1" applyAlignment="1">
      <alignment horizontal="center"/>
    </xf>
    <xf numFmtId="3" fontId="6" fillId="0" borderId="2" xfId="10" applyNumberFormat="1" applyFont="1" applyBorder="1" applyAlignment="1" applyProtection="1">
      <alignment horizontal="right"/>
    </xf>
    <xf numFmtId="39" fontId="6" fillId="0" borderId="2" xfId="10" applyNumberFormat="1" applyFont="1" applyBorder="1" applyAlignment="1" applyProtection="1">
      <alignment horizontal="center"/>
    </xf>
    <xf numFmtId="0" fontId="12" fillId="0" borderId="0" xfId="0" applyFont="1" applyAlignment="1">
      <alignment horizontal="right" vertical="center"/>
    </xf>
    <xf numFmtId="0" fontId="10" fillId="0" borderId="0" xfId="2" applyAlignment="1" applyProtection="1">
      <alignment horizontal="right" vertical="center"/>
    </xf>
    <xf numFmtId="0" fontId="44" fillId="0" borderId="0" xfId="2" applyFont="1" applyAlignment="1" applyProtection="1">
      <alignment horizontal="left" vertical="center"/>
    </xf>
    <xf numFmtId="0" fontId="76" fillId="0" borderId="0" xfId="2" applyFont="1" applyAlignment="1" applyProtection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2" fontId="21" fillId="0" borderId="2" xfId="0" applyNumberFormat="1" applyFont="1" applyBorder="1" applyAlignment="1">
      <alignment horizontal="right" wrapText="1"/>
    </xf>
    <xf numFmtId="39" fontId="96" fillId="0" borderId="2" xfId="0" applyNumberFormat="1" applyFont="1" applyBorder="1" applyAlignment="1">
      <alignment horizontal="right" vertical="center"/>
    </xf>
    <xf numFmtId="0" fontId="78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39" fontId="5" fillId="0" borderId="2" xfId="0" applyNumberFormat="1" applyFont="1" applyBorder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30" fillId="0" borderId="2" xfId="0" applyFont="1" applyBorder="1" applyAlignment="1">
      <alignment horizontal="right" vertical="center"/>
    </xf>
    <xf numFmtId="0" fontId="33" fillId="0" borderId="0" xfId="0" applyFont="1" applyAlignment="1">
      <alignment vertical="center"/>
    </xf>
    <xf numFmtId="2" fontId="5" fillId="0" borderId="2" xfId="0" applyNumberFormat="1" applyFont="1" applyBorder="1" applyAlignment="1">
      <alignment horizontal="right"/>
    </xf>
    <xf numFmtId="1" fontId="6" fillId="0" borderId="2" xfId="41" applyNumberFormat="1" applyFont="1" applyBorder="1" applyAlignment="1">
      <alignment horizontal="right"/>
    </xf>
    <xf numFmtId="49" fontId="6" fillId="0" borderId="2" xfId="41" applyNumberFormat="1" applyFont="1" applyBorder="1" applyAlignment="1">
      <alignment horizontal="left" wrapText="1"/>
    </xf>
    <xf numFmtId="0" fontId="6" fillId="0" borderId="2" xfId="86" applyFont="1" applyBorder="1" applyAlignment="1">
      <alignment horizontal="left"/>
    </xf>
    <xf numFmtId="2" fontId="6" fillId="0" borderId="2" xfId="41" applyNumberFormat="1" applyFont="1" applyBorder="1" applyAlignment="1">
      <alignment horizontal="right"/>
    </xf>
    <xf numFmtId="0" fontId="84" fillId="0" borderId="0" xfId="41" applyFont="1" applyAlignment="1">
      <alignment vertical="top"/>
    </xf>
    <xf numFmtId="0" fontId="39" fillId="0" borderId="0" xfId="41" applyFont="1" applyAlignment="1">
      <alignment vertical="top"/>
    </xf>
    <xf numFmtId="0" fontId="21" fillId="0" borderId="2" xfId="41" applyFont="1" applyBorder="1" applyAlignment="1">
      <alignment horizontal="left" wrapText="1"/>
    </xf>
    <xf numFmtId="2" fontId="8" fillId="0" borderId="2" xfId="41" applyNumberFormat="1" applyFont="1" applyBorder="1" applyAlignment="1">
      <alignment horizontal="right" wrapText="1"/>
    </xf>
    <xf numFmtId="39" fontId="6" fillId="0" borderId="2" xfId="41" applyNumberFormat="1" applyFont="1" applyBorder="1" applyAlignment="1">
      <alignment horizontal="right" vertical="center"/>
    </xf>
    <xf numFmtId="0" fontId="42" fillId="0" borderId="0" xfId="2" applyFont="1" applyAlignment="1" applyProtection="1">
      <alignment horizontal="left" vertical="center"/>
    </xf>
    <xf numFmtId="2" fontId="8" fillId="0" borderId="2" xfId="0" applyNumberFormat="1" applyFont="1" applyBorder="1" applyAlignment="1">
      <alignment horizontal="right" wrapText="1"/>
    </xf>
    <xf numFmtId="0" fontId="95" fillId="0" borderId="0" xfId="41" applyFont="1" applyAlignment="1">
      <alignment vertical="top"/>
    </xf>
    <xf numFmtId="4" fontId="6" fillId="0" borderId="2" xfId="41" applyNumberFormat="1" applyFont="1" applyBorder="1" applyAlignment="1">
      <alignment horizontal="right" shrinkToFit="1"/>
    </xf>
    <xf numFmtId="0" fontId="36" fillId="0" borderId="0" xfId="41" applyFont="1" applyAlignment="1">
      <alignment vertical="center"/>
    </xf>
    <xf numFmtId="0" fontId="39" fillId="0" borderId="0" xfId="41" applyFont="1" applyAlignment="1">
      <alignment horizontal="right" vertical="center"/>
    </xf>
    <xf numFmtId="0" fontId="55" fillId="0" borderId="0" xfId="0" applyFont="1" applyAlignment="1">
      <alignment horizontal="right" vertical="center"/>
    </xf>
    <xf numFmtId="1" fontId="6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left" vertical="center" wrapText="1"/>
    </xf>
    <xf numFmtId="2" fontId="56" fillId="0" borderId="0" xfId="0" applyNumberFormat="1" applyFont="1" applyAlignment="1">
      <alignment horizontal="left" vertical="center"/>
    </xf>
    <xf numFmtId="0" fontId="16" fillId="0" borderId="0" xfId="15" applyFont="1" applyAlignment="1">
      <alignment vertical="center"/>
    </xf>
    <xf numFmtId="2" fontId="70" fillId="0" borderId="0" xfId="0" applyNumberFormat="1" applyFont="1" applyAlignment="1">
      <alignment horizontal="left" vertical="center"/>
    </xf>
    <xf numFmtId="0" fontId="80" fillId="0" borderId="0" xfId="2" applyFont="1" applyAlignment="1" applyProtection="1">
      <alignment horizontal="left" vertical="center"/>
    </xf>
    <xf numFmtId="0" fontId="32" fillId="0" borderId="0" xfId="0" applyFont="1" applyAlignment="1">
      <alignment horizontal="left" vertical="center"/>
    </xf>
    <xf numFmtId="39" fontId="103" fillId="0" borderId="2" xfId="0" applyNumberFormat="1" applyFont="1" applyBorder="1" applyAlignment="1">
      <alignment horizontal="right"/>
    </xf>
    <xf numFmtId="0" fontId="70" fillId="0" borderId="0" xfId="0" applyFont="1" applyAlignment="1">
      <alignment horizontal="left" vertical="center"/>
    </xf>
    <xf numFmtId="0" fontId="0" fillId="0" borderId="0" xfId="0" applyAlignment="1">
      <alignment horizontal="right" vertical="top"/>
    </xf>
    <xf numFmtId="0" fontId="102" fillId="0" borderId="0" xfId="0" applyFont="1" applyAlignment="1">
      <alignment horizontal="left" vertical="center"/>
    </xf>
    <xf numFmtId="0" fontId="94" fillId="0" borderId="0" xfId="0" applyFont="1" applyAlignment="1">
      <alignment horizontal="left" vertical="top"/>
    </xf>
    <xf numFmtId="39" fontId="6" fillId="0" borderId="2" xfId="0" applyNumberFormat="1" applyFont="1" applyBorder="1" applyAlignment="1">
      <alignment horizontal="right" vertical="center"/>
    </xf>
    <xf numFmtId="1" fontId="9" fillId="0" borderId="2" xfId="0" applyNumberFormat="1" applyFont="1" applyBorder="1" applyAlignment="1">
      <alignment horizontal="right"/>
    </xf>
    <xf numFmtId="4" fontId="0" fillId="0" borderId="0" xfId="0" applyNumberFormat="1" applyAlignment="1">
      <alignment vertical="top"/>
    </xf>
    <xf numFmtId="0" fontId="10" fillId="0" borderId="2" xfId="0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1" fontId="8" fillId="0" borderId="2" xfId="0" applyNumberFormat="1" applyFont="1" applyBorder="1" applyAlignment="1">
      <alignment horizontal="right"/>
    </xf>
    <xf numFmtId="0" fontId="0" fillId="0" borderId="15" xfId="0" applyBorder="1" applyAlignment="1">
      <alignment horizontal="right" vertical="center"/>
    </xf>
    <xf numFmtId="4" fontId="8" fillId="4" borderId="2" xfId="0" applyNumberFormat="1" applyFont="1" applyFill="1" applyBorder="1" applyAlignment="1">
      <alignment horizontal="right"/>
    </xf>
    <xf numFmtId="0" fontId="39" fillId="0" borderId="2" xfId="0" applyFont="1" applyBorder="1" applyAlignment="1">
      <alignment horizontal="left" vertical="top"/>
    </xf>
    <xf numFmtId="0" fontId="0" fillId="0" borderId="15" xfId="0" applyBorder="1" applyAlignment="1">
      <alignment vertical="top"/>
    </xf>
    <xf numFmtId="0" fontId="0" fillId="0" borderId="15" xfId="0" applyBorder="1" applyAlignment="1">
      <alignment vertical="center"/>
    </xf>
    <xf numFmtId="2" fontId="0" fillId="0" borderId="0" xfId="0" applyNumberFormat="1" applyAlignment="1">
      <alignment vertical="top"/>
    </xf>
    <xf numFmtId="3" fontId="5" fillId="0" borderId="2" xfId="41" applyNumberFormat="1" applyFont="1" applyBorder="1" applyAlignment="1">
      <alignment horizontal="right"/>
    </xf>
    <xf numFmtId="2" fontId="5" fillId="0" borderId="2" xfId="41" applyNumberFormat="1" applyFont="1" applyBorder="1" applyAlignment="1">
      <alignment horizontal="right"/>
    </xf>
    <xf numFmtId="4" fontId="5" fillId="0" borderId="2" xfId="41" applyNumberFormat="1" applyFont="1" applyBorder="1" applyAlignment="1">
      <alignment horizontal="right"/>
    </xf>
    <xf numFmtId="0" fontId="39" fillId="0" borderId="2" xfId="41" applyFont="1" applyBorder="1" applyAlignment="1">
      <alignment horizontal="left" vertical="top"/>
    </xf>
    <xf numFmtId="0" fontId="56" fillId="0" borderId="0" xfId="41" applyFont="1" applyAlignment="1">
      <alignment horizontal="left" vertical="center"/>
    </xf>
    <xf numFmtId="0" fontId="36" fillId="0" borderId="0" xfId="41" applyFont="1" applyAlignment="1">
      <alignment horizontal="left" vertical="center"/>
    </xf>
    <xf numFmtId="2" fontId="39" fillId="0" borderId="0" xfId="41" applyNumberFormat="1" applyFont="1" applyAlignment="1">
      <alignment horizontal="left" vertical="top"/>
    </xf>
    <xf numFmtId="0" fontId="39" fillId="0" borderId="0" xfId="41" applyFont="1"/>
    <xf numFmtId="0" fontId="57" fillId="0" borderId="2" xfId="41" applyFont="1" applyBorder="1" applyAlignment="1">
      <alignment horizontal="left" wrapText="1"/>
    </xf>
    <xf numFmtId="0" fontId="8" fillId="0" borderId="2" xfId="41" applyFont="1" applyBorder="1" applyAlignment="1">
      <alignment horizontal="left" wrapText="1"/>
    </xf>
    <xf numFmtId="2" fontId="8" fillId="0" borderId="2" xfId="41" applyNumberFormat="1" applyFont="1" applyBorder="1"/>
    <xf numFmtId="4" fontId="57" fillId="0" borderId="2" xfId="41" applyNumberFormat="1" applyFont="1" applyBorder="1" applyAlignment="1">
      <alignment horizontal="right"/>
    </xf>
    <xf numFmtId="39" fontId="57" fillId="0" borderId="2" xfId="41" applyNumberFormat="1" applyFont="1" applyBorder="1" applyAlignment="1">
      <alignment horizontal="center"/>
    </xf>
    <xf numFmtId="1" fontId="5" fillId="0" borderId="2" xfId="41" applyNumberFormat="1" applyFont="1" applyBorder="1" applyAlignment="1">
      <alignment horizontal="right"/>
    </xf>
    <xf numFmtId="165" fontId="5" fillId="0" borderId="2" xfId="41" applyNumberFormat="1" applyFont="1" applyBorder="1" applyAlignment="1">
      <alignment horizontal="right"/>
    </xf>
    <xf numFmtId="37" fontId="5" fillId="2" borderId="2" xfId="0" applyNumberFormat="1" applyFont="1" applyFill="1" applyBorder="1" applyAlignment="1">
      <alignment horizontal="right"/>
    </xf>
    <xf numFmtId="39" fontId="5" fillId="2" borderId="2" xfId="0" applyNumberFormat="1" applyFont="1" applyFill="1" applyBorder="1" applyAlignment="1">
      <alignment horizontal="right"/>
    </xf>
    <xf numFmtId="0" fontId="0" fillId="2" borderId="2" xfId="0" applyFill="1" applyBorder="1" applyAlignment="1">
      <alignment horizontal="left" vertical="top"/>
    </xf>
    <xf numFmtId="37" fontId="28" fillId="0" borderId="2" xfId="0" applyNumberFormat="1" applyFont="1" applyBorder="1" applyAlignment="1">
      <alignment horizontal="right"/>
    </xf>
    <xf numFmtId="0" fontId="28" fillId="0" borderId="2" xfId="0" applyFont="1" applyBorder="1" applyAlignment="1">
      <alignment horizontal="left" wrapText="1"/>
    </xf>
    <xf numFmtId="39" fontId="28" fillId="0" borderId="2" xfId="0" applyNumberFormat="1" applyFont="1" applyBorder="1" applyAlignment="1">
      <alignment horizontal="right"/>
    </xf>
    <xf numFmtId="0" fontId="100" fillId="0" borderId="2" xfId="0" applyFont="1" applyBorder="1" applyAlignment="1">
      <alignment horizontal="left" vertical="top"/>
    </xf>
    <xf numFmtId="0" fontId="46" fillId="0" borderId="0" xfId="18" applyFill="1" applyAlignment="1" applyProtection="1">
      <alignment horizontal="left" vertical="top"/>
    </xf>
    <xf numFmtId="0" fontId="101" fillId="0" borderId="2" xfId="0" applyFont="1" applyBorder="1" applyAlignment="1">
      <alignment horizontal="right" vertical="center"/>
    </xf>
    <xf numFmtId="0" fontId="90" fillId="0" borderId="0" xfId="0" applyFont="1" applyAlignment="1">
      <alignment horizontal="left" vertical="top"/>
    </xf>
    <xf numFmtId="0" fontId="32" fillId="0" borderId="0" xfId="0" applyFont="1" applyAlignment="1">
      <alignment horizontal="left" vertical="top"/>
    </xf>
    <xf numFmtId="0" fontId="0" fillId="2" borderId="0" xfId="0" applyFill="1" applyAlignment="1">
      <alignment horizontal="left" vertical="top"/>
    </xf>
    <xf numFmtId="39" fontId="0" fillId="0" borderId="0" xfId="0" applyNumberFormat="1" applyAlignment="1">
      <alignment vertical="top"/>
    </xf>
    <xf numFmtId="37" fontId="9" fillId="0" borderId="2" xfId="0" applyNumberFormat="1" applyFont="1" applyBorder="1" applyAlignment="1">
      <alignment horizontal="right"/>
    </xf>
    <xf numFmtId="39" fontId="9" fillId="0" borderId="2" xfId="0" applyNumberFormat="1" applyFont="1" applyBorder="1" applyAlignment="1">
      <alignment horizontal="right"/>
    </xf>
    <xf numFmtId="0" fontId="104" fillId="0" borderId="0" xfId="0" applyFont="1" applyAlignment="1">
      <alignment vertical="center"/>
    </xf>
    <xf numFmtId="0" fontId="95" fillId="0" borderId="0" xfId="0" applyFont="1" applyAlignment="1">
      <alignment horizontal="left" vertical="center"/>
    </xf>
    <xf numFmtId="0" fontId="107" fillId="0" borderId="2" xfId="0" applyFont="1" applyBorder="1" applyAlignment="1">
      <alignment horizontal="right" vertical="center" wrapText="1"/>
    </xf>
    <xf numFmtId="0" fontId="46" fillId="0" borderId="0" xfId="18" applyFill="1" applyAlignment="1" applyProtection="1">
      <alignment horizontal="left" vertical="center"/>
    </xf>
    <xf numFmtId="0" fontId="105" fillId="0" borderId="0" xfId="0" applyFont="1" applyAlignment="1">
      <alignment horizontal="left" vertical="center"/>
    </xf>
    <xf numFmtId="0" fontId="107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0" fontId="31" fillId="0" borderId="0" xfId="0" applyFont="1" applyAlignment="1">
      <alignment horizontal="left" vertical="top"/>
    </xf>
    <xf numFmtId="0" fontId="21" fillId="0" borderId="2" xfId="0" quotePrefix="1" applyFont="1" applyBorder="1" applyAlignment="1">
      <alignment horizontal="left" wrapText="1"/>
    </xf>
    <xf numFmtId="0" fontId="8" fillId="0" borderId="2" xfId="88" applyFont="1" applyBorder="1" applyAlignment="1">
      <alignment horizontal="left" wrapText="1"/>
    </xf>
    <xf numFmtId="39" fontId="5" fillId="0" borderId="2" xfId="0" applyNumberFormat="1" applyFont="1" applyBorder="1" applyAlignment="1">
      <alignment horizontal="right"/>
    </xf>
    <xf numFmtId="2" fontId="0" fillId="0" borderId="0" xfId="0" applyNumberFormat="1" applyAlignment="1">
      <alignment horizontal="left" vertical="top"/>
    </xf>
    <xf numFmtId="49" fontId="6" fillId="0" borderId="2" xfId="2" applyNumberFormat="1" applyFont="1" applyBorder="1" applyAlignment="1" applyProtection="1">
      <alignment horizontal="left" wrapText="1"/>
    </xf>
    <xf numFmtId="39" fontId="31" fillId="0" borderId="0" xfId="88" applyNumberFormat="1" applyFont="1" applyAlignment="1">
      <alignment horizontal="right" vertical="center"/>
    </xf>
    <xf numFmtId="37" fontId="6" fillId="0" borderId="2" xfId="90" applyNumberFormat="1" applyFont="1" applyBorder="1" applyAlignment="1" applyProtection="1">
      <alignment horizontal="right"/>
    </xf>
    <xf numFmtId="2" fontId="6" fillId="0" borderId="2" xfId="19" applyNumberFormat="1" applyFont="1" applyBorder="1" applyAlignment="1" applyProtection="1">
      <alignment horizontal="right"/>
    </xf>
    <xf numFmtId="0" fontId="8" fillId="0" borderId="2" xfId="19" applyFont="1" applyBorder="1" applyAlignment="1" applyProtection="1">
      <alignment horizontal="left" wrapText="1"/>
    </xf>
    <xf numFmtId="2" fontId="8" fillId="0" borderId="2" xfId="19" applyNumberFormat="1" applyFont="1" applyBorder="1" applyAlignment="1" applyProtection="1">
      <alignment horizontal="right"/>
    </xf>
    <xf numFmtId="39" fontId="6" fillId="0" borderId="2" xfId="19" applyNumberFormat="1" applyFont="1" applyBorder="1" applyAlignment="1" applyProtection="1">
      <alignment horizontal="center"/>
    </xf>
    <xf numFmtId="0" fontId="95" fillId="0" borderId="0" xfId="41" applyFont="1" applyAlignment="1">
      <alignment vertical="center"/>
    </xf>
    <xf numFmtId="0" fontId="84" fillId="0" borderId="0" xfId="41" applyFont="1" applyAlignment="1">
      <alignment vertical="center"/>
    </xf>
    <xf numFmtId="0" fontId="84" fillId="0" borderId="0" xfId="2" applyFont="1" applyAlignment="1" applyProtection="1">
      <alignment horizontal="left" vertical="center"/>
    </xf>
    <xf numFmtId="3" fontId="5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85" fillId="0" borderId="0" xfId="2" applyFont="1" applyAlignment="1" applyProtection="1">
      <alignment horizontal="left" vertical="center"/>
    </xf>
    <xf numFmtId="0" fontId="80" fillId="0" borderId="0" xfId="0" applyFont="1" applyAlignment="1">
      <alignment horizontal="left" vertical="center"/>
    </xf>
    <xf numFmtId="0" fontId="39" fillId="0" borderId="0" xfId="41" applyFont="1" applyAlignment="1">
      <alignment vertical="center"/>
    </xf>
    <xf numFmtId="0" fontId="109" fillId="0" borderId="0" xfId="0" applyFont="1" applyAlignment="1">
      <alignment horizontal="left" vertical="center"/>
    </xf>
    <xf numFmtId="0" fontId="1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99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4" fontId="34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right" vertical="center"/>
    </xf>
    <xf numFmtId="166" fontId="37" fillId="0" borderId="0" xfId="0" applyNumberFormat="1" applyFont="1" applyAlignment="1">
      <alignment vertical="center"/>
    </xf>
    <xf numFmtId="0" fontId="38" fillId="0" borderId="0" xfId="0" applyFont="1" applyAlignment="1">
      <alignment vertical="center"/>
    </xf>
    <xf numFmtId="4" fontId="36" fillId="0" borderId="0" xfId="0" applyNumberFormat="1" applyFont="1" applyAlignment="1">
      <alignment horizontal="center" vertical="center"/>
    </xf>
    <xf numFmtId="0" fontId="71" fillId="0" borderId="0" xfId="2" applyFont="1" applyAlignment="1" applyProtection="1">
      <alignment horizontal="left" vertical="center"/>
    </xf>
    <xf numFmtId="0" fontId="36" fillId="0" borderId="0" xfId="0" applyFont="1" applyAlignment="1">
      <alignment vertical="center"/>
    </xf>
    <xf numFmtId="0" fontId="10" fillId="0" borderId="0" xfId="0" applyFont="1" applyAlignment="1">
      <alignment vertical="top"/>
    </xf>
    <xf numFmtId="4" fontId="28" fillId="0" borderId="2" xfId="0" applyNumberFormat="1" applyFont="1" applyBorder="1" applyAlignment="1">
      <alignment shrinkToFit="1"/>
    </xf>
    <xf numFmtId="0" fontId="78" fillId="0" borderId="0" xfId="41" applyFont="1" applyAlignment="1">
      <alignment vertical="center"/>
    </xf>
    <xf numFmtId="0" fontId="22" fillId="0" borderId="2" xfId="0" applyFont="1" applyBorder="1" applyAlignment="1">
      <alignment horizontal="right" vertical="center"/>
    </xf>
    <xf numFmtId="2" fontId="74" fillId="0" borderId="10" xfId="0" applyNumberFormat="1" applyFont="1" applyBorder="1" applyAlignment="1">
      <alignment horizontal="left" vertical="center"/>
    </xf>
    <xf numFmtId="0" fontId="63" fillId="0" borderId="0" xfId="0" applyFont="1" applyAlignment="1">
      <alignment horizontal="left" vertical="center"/>
    </xf>
    <xf numFmtId="166" fontId="68" fillId="0" borderId="0" xfId="0" applyNumberFormat="1" applyFont="1" applyAlignment="1">
      <alignment vertical="center"/>
    </xf>
    <xf numFmtId="0" fontId="69" fillId="0" borderId="0" xfId="0" applyFont="1" applyAlignment="1">
      <alignment vertical="center"/>
    </xf>
    <xf numFmtId="4" fontId="63" fillId="0" borderId="0" xfId="0" applyNumberFormat="1" applyFont="1" applyAlignment="1">
      <alignment horizontal="center" vertical="center"/>
    </xf>
    <xf numFmtId="0" fontId="68" fillId="0" borderId="0" xfId="2" applyFont="1" applyAlignment="1" applyProtection="1">
      <alignment horizontal="left" vertical="center"/>
    </xf>
    <xf numFmtId="0" fontId="33" fillId="0" borderId="2" xfId="0" applyFont="1" applyBorder="1" applyAlignment="1">
      <alignment horizontal="right" vertical="center"/>
    </xf>
    <xf numFmtId="0" fontId="95" fillId="0" borderId="0" xfId="2" applyFont="1" applyAlignment="1" applyProtection="1">
      <alignment horizontal="left" vertical="center"/>
    </xf>
    <xf numFmtId="4" fontId="76" fillId="0" borderId="0" xfId="0" applyNumberFormat="1" applyFont="1" applyAlignment="1">
      <alignment horizontal="left" vertical="center"/>
    </xf>
    <xf numFmtId="0" fontId="40" fillId="0" borderId="2" xfId="0" applyFont="1" applyBorder="1" applyAlignment="1">
      <alignment horizontal="left" wrapText="1"/>
    </xf>
    <xf numFmtId="4" fontId="40" fillId="0" borderId="2" xfId="0" applyNumberFormat="1" applyFont="1" applyBorder="1" applyAlignment="1">
      <alignment horizontal="right"/>
    </xf>
    <xf numFmtId="39" fontId="40" fillId="0" borderId="2" xfId="0" applyNumberFormat="1" applyFont="1" applyBorder="1" applyAlignment="1">
      <alignment horizontal="center"/>
    </xf>
    <xf numFmtId="3" fontId="40" fillId="0" borderId="2" xfId="0" applyNumberFormat="1" applyFont="1" applyBorder="1" applyAlignment="1">
      <alignment horizontal="right"/>
    </xf>
    <xf numFmtId="0" fontId="43" fillId="0" borderId="2" xfId="0" applyFont="1" applyBorder="1" applyAlignment="1">
      <alignment horizontal="left" wrapText="1"/>
    </xf>
    <xf numFmtId="2" fontId="41" fillId="0" borderId="2" xfId="0" applyNumberFormat="1" applyFont="1" applyBorder="1" applyAlignment="1">
      <alignment horizontal="right"/>
    </xf>
    <xf numFmtId="0" fontId="31" fillId="0" borderId="0" xfId="0" applyFont="1" applyAlignment="1">
      <alignment horizontal="left" vertical="center"/>
    </xf>
    <xf numFmtId="0" fontId="104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top"/>
    </xf>
    <xf numFmtId="0" fontId="105" fillId="0" borderId="0" xfId="0" applyFont="1" applyAlignment="1">
      <alignment horizontal="right" vertical="center"/>
    </xf>
    <xf numFmtId="37" fontId="26" fillId="0" borderId="2" xfId="0" applyNumberFormat="1" applyFont="1" applyBorder="1" applyAlignment="1">
      <alignment horizontal="right"/>
    </xf>
    <xf numFmtId="0" fontId="26" fillId="0" borderId="2" xfId="0" applyFont="1" applyBorder="1" applyAlignment="1">
      <alignment horizontal="left" wrapText="1"/>
    </xf>
    <xf numFmtId="39" fontId="26" fillId="0" borderId="2" xfId="0" applyNumberFormat="1" applyFont="1" applyBorder="1" applyAlignment="1">
      <alignment horizontal="right"/>
    </xf>
    <xf numFmtId="0" fontId="10" fillId="0" borderId="2" xfId="0" applyFont="1" applyBorder="1" applyAlignment="1">
      <alignment horizontal="center" vertical="top"/>
    </xf>
    <xf numFmtId="0" fontId="31" fillId="0" borderId="0" xfId="18" applyFont="1" applyFill="1" applyAlignment="1" applyProtection="1">
      <alignment horizontal="left" vertical="center"/>
    </xf>
    <xf numFmtId="0" fontId="106" fillId="0" borderId="0" xfId="89" applyFill="1" applyAlignment="1" applyProtection="1">
      <alignment horizontal="left" vertical="top"/>
    </xf>
    <xf numFmtId="4" fontId="80" fillId="0" borderId="0" xfId="41" applyNumberFormat="1" applyFont="1" applyAlignment="1">
      <alignment horizontal="center" vertical="center"/>
    </xf>
    <xf numFmtId="1" fontId="9" fillId="0" borderId="2" xfId="41" applyNumberFormat="1" applyFont="1" applyBorder="1" applyAlignment="1">
      <alignment horizontal="right"/>
    </xf>
    <xf numFmtId="0" fontId="9" fillId="0" borderId="2" xfId="41" applyFont="1" applyBorder="1" applyAlignment="1">
      <alignment horizontal="left" wrapText="1"/>
    </xf>
    <xf numFmtId="4" fontId="9" fillId="0" borderId="2" xfId="41" applyNumberFormat="1" applyFont="1" applyBorder="1" applyAlignment="1">
      <alignment horizontal="right"/>
    </xf>
    <xf numFmtId="0" fontId="108" fillId="0" borderId="0" xfId="18" applyFont="1" applyFill="1" applyAlignment="1" applyProtection="1">
      <alignment horizontal="left" vertical="top"/>
    </xf>
    <xf numFmtId="0" fontId="79" fillId="0" borderId="0" xfId="0" applyFont="1" applyAlignment="1">
      <alignment horizontal="right" vertical="top"/>
    </xf>
    <xf numFmtId="166" fontId="6" fillId="0" borderId="2" xfId="0" applyNumberFormat="1" applyFont="1" applyBorder="1" applyAlignment="1">
      <alignment horizontal="right"/>
    </xf>
    <xf numFmtId="4" fontId="0" fillId="0" borderId="0" xfId="0" applyNumberFormat="1" applyAlignment="1">
      <alignment horizontal="right" vertical="top"/>
    </xf>
    <xf numFmtId="37" fontId="21" fillId="0" borderId="2" xfId="0" applyNumberFormat="1" applyFont="1" applyBorder="1" applyAlignment="1">
      <alignment horizontal="right"/>
    </xf>
    <xf numFmtId="0" fontId="0" fillId="0" borderId="0" xfId="0" applyAlignment="1">
      <alignment horizontal="right" vertical="center"/>
    </xf>
    <xf numFmtId="9" fontId="9" fillId="0" borderId="2" xfId="0" applyNumberFormat="1" applyFont="1" applyBorder="1" applyAlignment="1">
      <alignment horizontal="left" wrapText="1"/>
    </xf>
    <xf numFmtId="37" fontId="8" fillId="0" borderId="2" xfId="0" applyNumberFormat="1" applyFont="1" applyBorder="1" applyAlignment="1">
      <alignment horizontal="right"/>
    </xf>
    <xf numFmtId="49" fontId="8" fillId="0" borderId="2" xfId="0" applyNumberFormat="1" applyFont="1" applyBorder="1" applyAlignment="1">
      <alignment horizontal="left" wrapText="1"/>
    </xf>
    <xf numFmtId="39" fontId="8" fillId="0" borderId="2" xfId="0" applyNumberFormat="1" applyFont="1" applyBorder="1" applyAlignment="1">
      <alignment horizontal="right"/>
    </xf>
    <xf numFmtId="0" fontId="20" fillId="0" borderId="2" xfId="0" applyFont="1" applyBorder="1" applyAlignment="1">
      <alignment vertical="top"/>
    </xf>
    <xf numFmtId="0" fontId="97" fillId="0" borderId="0" xfId="0" applyFont="1" applyAlignment="1">
      <alignment horizontal="left" vertical="top"/>
    </xf>
    <xf numFmtId="0" fontId="97" fillId="0" borderId="0" xfId="0" applyFont="1" applyAlignment="1">
      <alignment horizontal="right" vertical="top"/>
    </xf>
    <xf numFmtId="0" fontId="20" fillId="0" borderId="0" xfId="0" applyFont="1" applyAlignment="1">
      <alignment vertical="top"/>
    </xf>
    <xf numFmtId="4" fontId="21" fillId="0" borderId="2" xfId="0" applyNumberFormat="1" applyFont="1" applyBorder="1" applyAlignment="1">
      <alignment horizontal="right"/>
    </xf>
    <xf numFmtId="0" fontId="31" fillId="0" borderId="2" xfId="0" applyFont="1" applyBorder="1" applyAlignment="1">
      <alignment horizontal="left" vertical="top"/>
    </xf>
    <xf numFmtId="0" fontId="33" fillId="0" borderId="0" xfId="0" applyFont="1" applyAlignment="1">
      <alignment horizontal="left" vertical="top"/>
    </xf>
    <xf numFmtId="0" fontId="39" fillId="0" borderId="0" xfId="0" applyFont="1" applyAlignment="1">
      <alignment vertical="top"/>
    </xf>
    <xf numFmtId="39" fontId="96" fillId="0" borderId="2" xfId="0" applyNumberFormat="1" applyFont="1" applyBorder="1" applyAlignment="1">
      <alignment horizontal="center"/>
    </xf>
    <xf numFmtId="2" fontId="39" fillId="0" borderId="0" xfId="0" applyNumberFormat="1" applyFont="1" applyAlignment="1">
      <alignment vertical="top"/>
    </xf>
    <xf numFmtId="0" fontId="35" fillId="0" borderId="0" xfId="0" applyFont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39" fillId="0" borderId="0" xfId="0" applyFont="1" applyAlignment="1">
      <alignment vertical="center"/>
    </xf>
    <xf numFmtId="0" fontId="58" fillId="0" borderId="0" xfId="0" applyFont="1" applyAlignment="1">
      <alignment vertical="top"/>
    </xf>
    <xf numFmtId="0" fontId="46" fillId="0" borderId="0" xfId="18" applyFill="1" applyAlignment="1" applyProtection="1">
      <alignment vertical="top"/>
    </xf>
    <xf numFmtId="0" fontId="59" fillId="0" borderId="0" xfId="0" applyFont="1" applyAlignment="1">
      <alignment horizontal="left" vertical="center"/>
    </xf>
    <xf numFmtId="0" fontId="58" fillId="0" borderId="0" xfId="0" applyFont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vertical="center"/>
    </xf>
    <xf numFmtId="0" fontId="60" fillId="0" borderId="0" xfId="0" applyFont="1" applyAlignment="1">
      <alignment horizontal="left" vertical="center"/>
    </xf>
    <xf numFmtId="2" fontId="34" fillId="0" borderId="0" xfId="0" applyNumberFormat="1" applyFont="1" applyAlignment="1">
      <alignment horizontal="left" vertical="center"/>
    </xf>
    <xf numFmtId="39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2" fontId="21" fillId="0" borderId="2" xfId="0" applyNumberFormat="1" applyFont="1" applyBorder="1" applyAlignment="1">
      <alignment horizontal="right"/>
    </xf>
    <xf numFmtId="39" fontId="31" fillId="0" borderId="0" xfId="0" applyNumberFormat="1" applyFont="1" applyAlignment="1">
      <alignment horizontal="right" vertical="center"/>
    </xf>
    <xf numFmtId="0" fontId="42" fillId="0" borderId="0" xfId="0" applyFont="1" applyAlignment="1">
      <alignment horizontal="left" vertical="top"/>
    </xf>
    <xf numFmtId="0" fontId="84" fillId="0" borderId="0" xfId="2" applyFont="1" applyAlignment="1" applyProtection="1">
      <alignment horizontal="left" vertical="top"/>
    </xf>
    <xf numFmtId="2" fontId="84" fillId="0" borderId="0" xfId="2" applyNumberFormat="1" applyFont="1" applyAlignment="1" applyProtection="1">
      <alignment horizontal="left" vertical="top"/>
    </xf>
    <xf numFmtId="2" fontId="10" fillId="0" borderId="0" xfId="2" applyNumberFormat="1" applyAlignment="1" applyProtection="1">
      <alignment horizontal="left" vertical="top"/>
    </xf>
    <xf numFmtId="2" fontId="85" fillId="0" borderId="0" xfId="2" applyNumberFormat="1" applyFont="1" applyAlignment="1" applyProtection="1">
      <alignment horizontal="left" vertical="center"/>
    </xf>
    <xf numFmtId="0" fontId="37" fillId="0" borderId="0" xfId="2" applyFont="1" applyAlignment="1" applyProtection="1">
      <alignment horizontal="left" vertical="center"/>
    </xf>
    <xf numFmtId="0" fontId="37" fillId="0" borderId="0" xfId="2" applyFont="1" applyAlignment="1" applyProtection="1">
      <alignment horizontal="left" vertical="top"/>
    </xf>
    <xf numFmtId="0" fontId="47" fillId="0" borderId="0" xfId="2" applyFont="1" applyAlignment="1" applyProtection="1">
      <alignment horizontal="left" vertical="center"/>
    </xf>
    <xf numFmtId="4" fontId="78" fillId="0" borderId="0" xfId="2" applyNumberFormat="1" applyFont="1" applyAlignment="1" applyProtection="1">
      <alignment horizontal="left" vertical="center"/>
    </xf>
    <xf numFmtId="0" fontId="56" fillId="0" borderId="0" xfId="2" applyFont="1" applyAlignment="1" applyProtection="1">
      <alignment horizontal="left" vertical="center"/>
    </xf>
    <xf numFmtId="2" fontId="40" fillId="0" borderId="2" xfId="0" applyNumberFormat="1" applyFont="1" applyBorder="1" applyAlignment="1">
      <alignment horizontal="right"/>
    </xf>
    <xf numFmtId="0" fontId="41" fillId="0" borderId="2" xfId="0" applyFont="1" applyBorder="1" applyAlignment="1">
      <alignment horizontal="left" wrapText="1"/>
    </xf>
    <xf numFmtId="2" fontId="43" fillId="0" borderId="2" xfId="0" applyNumberFormat="1" applyFont="1" applyBorder="1" applyAlignment="1">
      <alignment horizontal="right"/>
    </xf>
    <xf numFmtId="166" fontId="10" fillId="0" borderId="0" xfId="2" applyNumberFormat="1" applyAlignment="1" applyProtection="1">
      <alignment horizontal="left" vertical="top"/>
    </xf>
    <xf numFmtId="0" fontId="78" fillId="0" borderId="0" xfId="2" applyFont="1" applyAlignment="1" applyProtection="1">
      <alignment horizontal="left" vertical="center"/>
    </xf>
    <xf numFmtId="0" fontId="58" fillId="0" borderId="0" xfId="0" applyFont="1" applyAlignment="1">
      <alignment horizontal="left" vertical="top"/>
    </xf>
    <xf numFmtId="0" fontId="64" fillId="0" borderId="0" xfId="0" applyFont="1" applyAlignment="1">
      <alignment horizontal="left" vertical="center"/>
    </xf>
    <xf numFmtId="0" fontId="65" fillId="0" borderId="0" xfId="0" applyFont="1" applyAlignment="1">
      <alignment horizontal="right" vertical="center"/>
    </xf>
    <xf numFmtId="166" fontId="66" fillId="0" borderId="0" xfId="0" applyNumberFormat="1" applyFont="1" applyAlignment="1">
      <alignment vertical="center"/>
    </xf>
    <xf numFmtId="0" fontId="67" fillId="0" borderId="0" xfId="0" applyFont="1" applyAlignment="1">
      <alignment vertical="center"/>
    </xf>
    <xf numFmtId="0" fontId="0" fillId="3" borderId="0" xfId="0" applyFill="1" applyAlignment="1">
      <alignment vertical="top"/>
    </xf>
    <xf numFmtId="39" fontId="42" fillId="0" borderId="0" xfId="0" applyNumberFormat="1" applyFont="1" applyAlignment="1">
      <alignment vertical="center"/>
    </xf>
    <xf numFmtId="4" fontId="8" fillId="0" borderId="2" xfId="10" applyNumberFormat="1" applyFont="1" applyBorder="1" applyAlignment="1" applyProtection="1">
      <alignment horizontal="right"/>
    </xf>
    <xf numFmtId="37" fontId="6" fillId="0" borderId="2" xfId="6" applyNumberFormat="1" applyFont="1" applyBorder="1" applyAlignment="1">
      <alignment horizontal="right"/>
    </xf>
    <xf numFmtId="0" fontId="6" fillId="0" borderId="2" xfId="6" applyFont="1" applyBorder="1" applyAlignment="1">
      <alignment horizontal="left" wrapText="1"/>
    </xf>
    <xf numFmtId="2" fontId="6" fillId="0" borderId="2" xfId="6" applyNumberFormat="1" applyFont="1" applyBorder="1" applyAlignment="1">
      <alignment horizontal="right"/>
    </xf>
    <xf numFmtId="39" fontId="6" fillId="0" borderId="2" xfId="6" applyNumberFormat="1" applyFont="1" applyBorder="1" applyAlignment="1">
      <alignment horizontal="right"/>
    </xf>
    <xf numFmtId="39" fontId="6" fillId="0" borderId="2" xfId="42" applyNumberFormat="1" applyFont="1" applyBorder="1" applyAlignment="1" applyProtection="1">
      <alignment horizontal="center"/>
    </xf>
    <xf numFmtId="0" fontId="13" fillId="0" borderId="0" xfId="6" applyAlignment="1">
      <alignment horizontal="left" vertical="top"/>
    </xf>
    <xf numFmtId="0" fontId="8" fillId="0" borderId="2" xfId="6" applyFont="1" applyBorder="1" applyAlignment="1">
      <alignment horizontal="left" wrapText="1"/>
    </xf>
    <xf numFmtId="2" fontId="8" fillId="0" borderId="2" xfId="6" applyNumberFormat="1" applyFont="1" applyBorder="1" applyAlignment="1">
      <alignment horizontal="right"/>
    </xf>
    <xf numFmtId="39" fontId="6" fillId="0" borderId="2" xfId="6" applyNumberFormat="1" applyFont="1" applyBorder="1" applyAlignment="1">
      <alignment horizontal="center"/>
    </xf>
    <xf numFmtId="172" fontId="6" fillId="0" borderId="2" xfId="6" applyNumberFormat="1" applyFont="1" applyBorder="1" applyAlignment="1">
      <alignment horizontal="right"/>
    </xf>
    <xf numFmtId="0" fontId="5" fillId="0" borderId="2" xfId="6" applyFont="1" applyBorder="1" applyAlignment="1">
      <alignment horizontal="left" wrapText="1"/>
    </xf>
    <xf numFmtId="2" fontId="9" fillId="0" borderId="2" xfId="6" applyNumberFormat="1" applyFont="1" applyBorder="1" applyAlignment="1">
      <alignment horizontal="right" wrapText="1"/>
    </xf>
    <xf numFmtId="39" fontId="26" fillId="0" borderId="2" xfId="6" applyNumberFormat="1" applyFont="1" applyBorder="1" applyAlignment="1">
      <alignment horizontal="right"/>
    </xf>
    <xf numFmtId="39" fontId="5" fillId="0" borderId="2" xfId="6" applyNumberFormat="1" applyFont="1" applyBorder="1" applyAlignment="1">
      <alignment horizontal="right"/>
    </xf>
    <xf numFmtId="0" fontId="22" fillId="0" borderId="2" xfId="6" applyFont="1" applyBorder="1" applyAlignment="1">
      <alignment horizontal="left" vertical="top"/>
    </xf>
    <xf numFmtId="49" fontId="6" fillId="0" borderId="2" xfId="6" applyNumberFormat="1" applyFont="1" applyBorder="1" applyAlignment="1">
      <alignment horizontal="left" wrapText="1"/>
    </xf>
    <xf numFmtId="166" fontId="0" fillId="0" borderId="0" xfId="0" applyNumberFormat="1" applyAlignment="1">
      <alignment horizontal="left" vertical="top"/>
    </xf>
    <xf numFmtId="37" fontId="5" fillId="0" borderId="2" xfId="41" applyNumberFormat="1" applyFont="1" applyBorder="1" applyAlignment="1">
      <alignment horizontal="right"/>
    </xf>
    <xf numFmtId="39" fontId="5" fillId="0" borderId="2" xfId="41" applyNumberFormat="1" applyFont="1" applyBorder="1" applyAlignment="1">
      <alignment horizontal="right"/>
    </xf>
    <xf numFmtId="0" fontId="19" fillId="0" borderId="2" xfId="41" applyBorder="1" applyAlignment="1">
      <alignment horizontal="left" vertical="top"/>
    </xf>
    <xf numFmtId="0" fontId="19" fillId="0" borderId="0" xfId="41" applyAlignment="1">
      <alignment horizontal="left" vertical="top"/>
    </xf>
    <xf numFmtId="37" fontId="5" fillId="0" borderId="2" xfId="6" applyNumberFormat="1" applyFont="1" applyBorder="1" applyAlignment="1">
      <alignment horizontal="right"/>
    </xf>
    <xf numFmtId="2" fontId="5" fillId="0" borderId="2" xfId="6" applyNumberFormat="1" applyFont="1" applyBorder="1" applyAlignment="1">
      <alignment horizontal="right"/>
    </xf>
    <xf numFmtId="0" fontId="13" fillId="0" borderId="2" xfId="6" applyBorder="1" applyAlignment="1">
      <alignment horizontal="left" vertical="top"/>
    </xf>
    <xf numFmtId="4" fontId="6" fillId="0" borderId="2" xfId="6" applyNumberFormat="1" applyFont="1" applyBorder="1" applyAlignment="1">
      <alignment horizontal="right"/>
    </xf>
    <xf numFmtId="0" fontId="13" fillId="0" borderId="0" xfId="6" applyAlignment="1">
      <alignment vertical="top"/>
    </xf>
    <xf numFmtId="4" fontId="8" fillId="0" borderId="2" xfId="6" applyNumberFormat="1" applyFont="1" applyBorder="1" applyAlignment="1">
      <alignment horizontal="right"/>
    </xf>
    <xf numFmtId="37" fontId="9" fillId="0" borderId="2" xfId="6" applyNumberFormat="1" applyFont="1" applyBorder="1" applyAlignment="1">
      <alignment horizontal="right"/>
    </xf>
    <xf numFmtId="0" fontId="9" fillId="0" borderId="2" xfId="6" applyFont="1" applyBorder="1" applyAlignment="1">
      <alignment horizontal="left" wrapText="1"/>
    </xf>
    <xf numFmtId="2" fontId="9" fillId="0" borderId="2" xfId="6" applyNumberFormat="1" applyFont="1" applyBorder="1" applyAlignment="1">
      <alignment horizontal="right"/>
    </xf>
    <xf numFmtId="39" fontId="9" fillId="0" borderId="2" xfId="6" applyNumberFormat="1" applyFont="1" applyBorder="1" applyAlignment="1">
      <alignment horizontal="right"/>
    </xf>
    <xf numFmtId="0" fontId="21" fillId="0" borderId="2" xfId="6" applyFont="1" applyBorder="1" applyAlignment="1">
      <alignment horizontal="left" wrapText="1"/>
    </xf>
    <xf numFmtId="0" fontId="88" fillId="0" borderId="0" xfId="0" applyFont="1" applyAlignment="1">
      <alignment horizontal="left" vertical="top"/>
    </xf>
    <xf numFmtId="0" fontId="89" fillId="0" borderId="0" xfId="16" applyFont="1" applyAlignment="1">
      <alignment horizontal="left" vertical="center"/>
    </xf>
    <xf numFmtId="0" fontId="90" fillId="0" borderId="0" xfId="2" applyFont="1" applyAlignment="1" applyProtection="1">
      <alignment horizontal="left" vertical="center"/>
    </xf>
    <xf numFmtId="0" fontId="91" fillId="0" borderId="0" xfId="0" applyFont="1" applyAlignment="1">
      <alignment horizontal="left" vertical="center"/>
    </xf>
    <xf numFmtId="0" fontId="92" fillId="0" borderId="0" xfId="16" applyFont="1" applyAlignment="1">
      <alignment horizontal="left" vertical="center"/>
    </xf>
    <xf numFmtId="0" fontId="93" fillId="0" borderId="0" xfId="16" applyFont="1" applyAlignment="1">
      <alignment horizontal="left" vertical="center"/>
    </xf>
    <xf numFmtId="37" fontId="11" fillId="0" borderId="0" xfId="42" applyNumberFormat="1" applyFont="1" applyAlignment="1" applyProtection="1">
      <alignment horizontal="right"/>
    </xf>
    <xf numFmtId="0" fontId="11" fillId="0" borderId="0" xfId="42" applyFont="1" applyAlignment="1" applyProtection="1">
      <alignment horizontal="left" wrapText="1"/>
    </xf>
    <xf numFmtId="165" fontId="11" fillId="0" borderId="0" xfId="42" applyNumberFormat="1" applyFont="1" applyAlignment="1" applyProtection="1">
      <alignment horizontal="right"/>
    </xf>
    <xf numFmtId="4" fontId="11" fillId="0" borderId="0" xfId="42" applyNumberFormat="1" applyFont="1" applyAlignment="1" applyProtection="1">
      <alignment horizontal="right"/>
    </xf>
    <xf numFmtId="37" fontId="39" fillId="0" borderId="0" xfId="42" applyNumberFormat="1" applyAlignment="1" applyProtection="1">
      <alignment horizontal="right" vertical="top"/>
    </xf>
    <xf numFmtId="0" fontId="39" fillId="0" borderId="0" xfId="42" applyAlignment="1" applyProtection="1">
      <alignment horizontal="left" vertical="top" wrapText="1"/>
    </xf>
    <xf numFmtId="165" fontId="39" fillId="0" borderId="0" xfId="42" applyNumberFormat="1" applyAlignment="1" applyProtection="1">
      <alignment horizontal="right" vertical="top"/>
    </xf>
    <xf numFmtId="4" fontId="39" fillId="0" borderId="0" xfId="42" applyNumberFormat="1" applyAlignment="1" applyProtection="1">
      <alignment horizontal="right" vertical="top"/>
    </xf>
    <xf numFmtId="0" fontId="2" fillId="0" borderId="0" xfId="42" applyFont="1" applyAlignment="1" applyProtection="1">
      <alignment horizontal="left" vertical="top"/>
    </xf>
    <xf numFmtId="0" fontId="5" fillId="0" borderId="3" xfId="42" applyFont="1" applyBorder="1" applyAlignment="1" applyProtection="1">
      <alignment horizontal="left"/>
    </xf>
    <xf numFmtId="0" fontId="9" fillId="0" borderId="4" xfId="42" applyFont="1" applyBorder="1" applyAlignment="1" applyProtection="1">
      <alignment horizontal="center"/>
    </xf>
    <xf numFmtId="165" fontId="9" fillId="0" borderId="4" xfId="42" applyNumberFormat="1" applyFont="1" applyBorder="1" applyAlignment="1" applyProtection="1">
      <alignment horizontal="right"/>
    </xf>
    <xf numFmtId="4" fontId="9" fillId="0" borderId="4" xfId="42" applyNumberFormat="1" applyFont="1" applyBorder="1" applyAlignment="1" applyProtection="1">
      <alignment horizontal="right"/>
    </xf>
    <xf numFmtId="4" fontId="5" fillId="0" borderId="1" xfId="42" applyNumberFormat="1" applyFont="1" applyBorder="1" applyAlignment="1" applyProtection="1">
      <alignment horizontal="right"/>
    </xf>
    <xf numFmtId="4" fontId="39" fillId="0" borderId="0" xfId="42" applyNumberFormat="1" applyAlignment="1" applyProtection="1">
      <alignment horizontal="left" vertical="top"/>
    </xf>
    <xf numFmtId="37" fontId="9" fillId="0" borderId="0" xfId="42" applyNumberFormat="1" applyFont="1" applyAlignment="1" applyProtection="1">
      <alignment horizontal="right"/>
    </xf>
    <xf numFmtId="0" fontId="9" fillId="0" borderId="0" xfId="42" applyFont="1" applyAlignment="1" applyProtection="1">
      <alignment horizontal="left" wrapText="1"/>
    </xf>
    <xf numFmtId="0" fontId="6" fillId="0" borderId="0" xfId="42" applyFont="1" applyAlignment="1" applyProtection="1">
      <alignment horizontal="left" wrapText="1"/>
    </xf>
    <xf numFmtId="0" fontId="9" fillId="0" borderId="0" xfId="42" applyFont="1" applyAlignment="1" applyProtection="1">
      <alignment horizontal="center" wrapText="1"/>
    </xf>
    <xf numFmtId="165" fontId="9" fillId="0" borderId="0" xfId="42" applyNumberFormat="1" applyFont="1" applyAlignment="1" applyProtection="1">
      <alignment horizontal="right"/>
    </xf>
    <xf numFmtId="39" fontId="9" fillId="0" borderId="0" xfId="42" applyNumberFormat="1" applyFont="1" applyAlignment="1" applyProtection="1">
      <alignment horizontal="right"/>
    </xf>
    <xf numFmtId="39" fontId="6" fillId="0" borderId="0" xfId="42" applyNumberFormat="1" applyFont="1" applyAlignment="1" applyProtection="1">
      <alignment horizontal="right"/>
    </xf>
    <xf numFmtId="0" fontId="14" fillId="0" borderId="0" xfId="1" applyFont="1" applyAlignment="1">
      <alignment vertical="center"/>
    </xf>
    <xf numFmtId="0" fontId="14" fillId="0" borderId="0" xfId="1" applyFont="1" applyAlignment="1">
      <alignment horizontal="center" vertical="center" wrapText="1"/>
    </xf>
    <xf numFmtId="0" fontId="39" fillId="0" borderId="0" xfId="42" applyAlignment="1" applyProtection="1">
      <alignment vertical="top"/>
    </xf>
    <xf numFmtId="166" fontId="39" fillId="0" borderId="0" xfId="42" applyNumberFormat="1" applyAlignment="1" applyProtection="1">
      <alignment vertical="top"/>
    </xf>
    <xf numFmtId="165" fontId="10" fillId="0" borderId="0" xfId="2" applyNumberFormat="1" applyAlignment="1" applyProtection="1">
      <alignment horizontal="right" vertical="top"/>
    </xf>
    <xf numFmtId="39" fontId="10" fillId="0" borderId="0" xfId="2" applyNumberFormat="1" applyAlignment="1" applyProtection="1">
      <alignment horizontal="right" vertical="top"/>
    </xf>
    <xf numFmtId="3" fontId="28" fillId="0" borderId="2" xfId="0" applyNumberFormat="1" applyFont="1" applyBorder="1" applyAlignment="1">
      <alignment horizontal="right"/>
    </xf>
    <xf numFmtId="0" fontId="28" fillId="0" borderId="2" xfId="0" applyFont="1" applyBorder="1" applyAlignment="1">
      <alignment horizontal="left" vertical="center" wrapText="1"/>
    </xf>
    <xf numFmtId="0" fontId="5" fillId="0" borderId="0" xfId="2" applyFont="1" applyAlignment="1" applyProtection="1">
      <alignment horizontal="left" wrapText="1"/>
    </xf>
    <xf numFmtId="0" fontId="39" fillId="0" borderId="0" xfId="41" applyFont="1" applyAlignment="1">
      <alignment horizontal="left" wrapText="1"/>
    </xf>
    <xf numFmtId="0" fontId="111" fillId="0" borderId="0" xfId="91" applyFont="1" applyAlignment="1">
      <alignment horizontal="left" vertical="center" wrapText="1"/>
    </xf>
    <xf numFmtId="0" fontId="14" fillId="0" borderId="0" xfId="1" applyFont="1" applyAlignment="1">
      <alignment vertical="center" wrapText="1"/>
    </xf>
    <xf numFmtId="0" fontId="10" fillId="0" borderId="0" xfId="42" applyFont="1" applyAlignment="1" applyProtection="1">
      <alignment vertical="center" wrapText="1"/>
    </xf>
    <xf numFmtId="0" fontId="0" fillId="0" borderId="0" xfId="0" applyAlignment="1">
      <alignment horizontal="left" wrapText="1"/>
    </xf>
    <xf numFmtId="37" fontId="5" fillId="0" borderId="3" xfId="42" applyNumberFormat="1" applyFont="1" applyBorder="1" applyAlignment="1" applyProtection="1">
      <alignment horizontal="center"/>
    </xf>
    <xf numFmtId="0" fontId="12" fillId="0" borderId="4" xfId="42" applyFont="1" applyBorder="1" applyAlignment="1" applyProtection="1">
      <alignment horizontal="center"/>
    </xf>
    <xf numFmtId="0" fontId="12" fillId="0" borderId="5" xfId="42" applyFont="1" applyBorder="1" applyAlignment="1" applyProtection="1">
      <alignment horizontal="center"/>
    </xf>
    <xf numFmtId="0" fontId="39" fillId="0" borderId="0" xfId="42" applyAlignment="1" applyProtection="1">
      <alignment vertical="center" wrapText="1"/>
    </xf>
    <xf numFmtId="0" fontId="10" fillId="0" borderId="0" xfId="2" applyAlignment="1" applyProtection="1">
      <alignment vertical="center" wrapText="1"/>
    </xf>
    <xf numFmtId="4" fontId="6" fillId="5" borderId="2" xfId="0" applyNumberFormat="1" applyFont="1" applyFill="1" applyBorder="1" applyAlignment="1" applyProtection="1">
      <alignment horizontal="right"/>
      <protection locked="0"/>
    </xf>
    <xf numFmtId="4" fontId="6" fillId="5" borderId="2" xfId="41" applyNumberFormat="1" applyFont="1" applyFill="1" applyBorder="1" applyAlignment="1" applyProtection="1">
      <alignment shrinkToFit="1"/>
      <protection locked="0"/>
    </xf>
    <xf numFmtId="39" fontId="6" fillId="5" borderId="2" xfId="0" applyNumberFormat="1" applyFont="1" applyFill="1" applyBorder="1" applyAlignment="1" applyProtection="1">
      <alignment horizontal="right"/>
      <protection locked="0"/>
    </xf>
    <xf numFmtId="4" fontId="6" fillId="5" borderId="2" xfId="10" applyNumberFormat="1" applyFont="1" applyFill="1" applyBorder="1" applyAlignment="1">
      <alignment horizontal="right"/>
      <protection locked="0"/>
    </xf>
    <xf numFmtId="4" fontId="6" fillId="5" borderId="2" xfId="41" applyNumberFormat="1" applyFont="1" applyFill="1" applyBorder="1" applyAlignment="1" applyProtection="1">
      <alignment horizontal="right"/>
      <protection locked="0"/>
    </xf>
    <xf numFmtId="4" fontId="6" fillId="5" borderId="2" xfId="41" applyNumberFormat="1" applyFont="1" applyFill="1" applyBorder="1" applyAlignment="1" applyProtection="1">
      <alignment horizontal="right" shrinkToFit="1"/>
      <protection locked="0"/>
    </xf>
    <xf numFmtId="4" fontId="6" fillId="5" borderId="2" xfId="0" applyNumberFormat="1" applyFont="1" applyFill="1" applyBorder="1" applyAlignment="1" applyProtection="1">
      <alignment shrinkToFit="1"/>
      <protection locked="0"/>
    </xf>
    <xf numFmtId="4" fontId="40" fillId="5" borderId="2" xfId="0" applyNumberFormat="1" applyFont="1" applyFill="1" applyBorder="1" applyAlignment="1" applyProtection="1">
      <alignment horizontal="right"/>
      <protection locked="0"/>
    </xf>
    <xf numFmtId="39" fontId="6" fillId="5" borderId="2" xfId="6" applyNumberFormat="1" applyFont="1" applyFill="1" applyBorder="1" applyAlignment="1" applyProtection="1">
      <alignment horizontal="right"/>
      <protection locked="0"/>
    </xf>
    <xf numFmtId="4" fontId="8" fillId="5" borderId="2" xfId="0" applyNumberFormat="1" applyFont="1" applyFill="1" applyBorder="1" applyAlignment="1" applyProtection="1">
      <alignment horizontal="right"/>
      <protection locked="0"/>
    </xf>
    <xf numFmtId="4" fontId="21" fillId="5" borderId="2" xfId="0" applyNumberFormat="1" applyFont="1" applyFill="1" applyBorder="1" applyAlignment="1" applyProtection="1">
      <alignment horizontal="right"/>
      <protection locked="0"/>
    </xf>
  </cellXfs>
  <cellStyles count="92">
    <cellStyle name="1D čísla" xfId="20" xr:uid="{00000000-0005-0000-0000-000000000000}"/>
    <cellStyle name="2D čísla" xfId="21" xr:uid="{00000000-0005-0000-0000-000001000000}"/>
    <cellStyle name="3D čísla" xfId="22" xr:uid="{00000000-0005-0000-0000-000002000000}"/>
    <cellStyle name="Celá čísla" xfId="23" xr:uid="{00000000-0005-0000-0000-000003000000}"/>
    <cellStyle name="čárky 2" xfId="24" xr:uid="{00000000-0005-0000-0000-000004000000}"/>
    <cellStyle name="čárky 2 2" xfId="25" xr:uid="{00000000-0005-0000-0000-000005000000}"/>
    <cellStyle name="čárky 2 2 2" xfId="26" xr:uid="{00000000-0005-0000-0000-000006000000}"/>
    <cellStyle name="čárky 2 3" xfId="27" xr:uid="{00000000-0005-0000-0000-000007000000}"/>
    <cellStyle name="čárky 2 3 2" xfId="28" xr:uid="{00000000-0005-0000-0000-000008000000}"/>
    <cellStyle name="čárky 3" xfId="29" xr:uid="{00000000-0005-0000-0000-000009000000}"/>
    <cellStyle name="čárky 3 2" xfId="30" xr:uid="{00000000-0005-0000-0000-00000A000000}"/>
    <cellStyle name="čárky 3 2 2" xfId="31" xr:uid="{00000000-0005-0000-0000-00000B000000}"/>
    <cellStyle name="čárky 4" xfId="32" xr:uid="{00000000-0005-0000-0000-00000C000000}"/>
    <cellStyle name="Hlavička" xfId="33" xr:uid="{00000000-0005-0000-0000-00000D000000}"/>
    <cellStyle name="Hypertextový odkaz" xfId="18" builtinId="8"/>
    <cellStyle name="Hypertextový odkaz 2" xfId="34" xr:uid="{00000000-0005-0000-0000-00000F000000}"/>
    <cellStyle name="Hypertextový odkaz 3" xfId="35" xr:uid="{00000000-0005-0000-0000-000010000000}"/>
    <cellStyle name="Hypertextový odkaz 4" xfId="89" xr:uid="{C77B5535-F968-4B43-8A31-5CC4E755C169}"/>
    <cellStyle name="Nadpis listu" xfId="36" xr:uid="{00000000-0005-0000-0000-000011000000}"/>
    <cellStyle name="Normal_Power Voltage Bill 08.06" xfId="3" xr:uid="{00000000-0005-0000-0000-000012000000}"/>
    <cellStyle name="Normale_Complete_official_price_list_2007CZ" xfId="4" xr:uid="{00000000-0005-0000-0000-000013000000}"/>
    <cellStyle name="Normální" xfId="0" builtinId="0"/>
    <cellStyle name="Normální 10" xfId="5" xr:uid="{00000000-0005-0000-0000-000015000000}"/>
    <cellStyle name="Normální 10 2" xfId="37" xr:uid="{00000000-0005-0000-0000-000016000000}"/>
    <cellStyle name="normální 11" xfId="38" xr:uid="{00000000-0005-0000-0000-000017000000}"/>
    <cellStyle name="normální 11 2" xfId="39" xr:uid="{00000000-0005-0000-0000-000018000000}"/>
    <cellStyle name="Normální 12" xfId="40" xr:uid="{00000000-0005-0000-0000-000019000000}"/>
    <cellStyle name="Normální 12 2" xfId="86" xr:uid="{00000000-0005-0000-0000-00001A000000}"/>
    <cellStyle name="Normální 13" xfId="41" xr:uid="{00000000-0005-0000-0000-00001B000000}"/>
    <cellStyle name="normální 14" xfId="42" xr:uid="{00000000-0005-0000-0000-00001C000000}"/>
    <cellStyle name="normální 15" xfId="83" xr:uid="{00000000-0005-0000-0000-00001D000000}"/>
    <cellStyle name="normální 16" xfId="85" xr:uid="{00000000-0005-0000-0000-00001E000000}"/>
    <cellStyle name="Normální 17" xfId="87" xr:uid="{00000000-0005-0000-0000-00001F000000}"/>
    <cellStyle name="Normální 2" xfId="2" xr:uid="{00000000-0005-0000-0000-000020000000}"/>
    <cellStyle name="normální 2 2" xfId="16" xr:uid="{00000000-0005-0000-0000-000021000000}"/>
    <cellStyle name="normální 2 2 2" xfId="43" xr:uid="{00000000-0005-0000-0000-000022000000}"/>
    <cellStyle name="normální 2 2 3" xfId="44" xr:uid="{00000000-0005-0000-0000-000023000000}"/>
    <cellStyle name="normální 2 2 4" xfId="45" xr:uid="{00000000-0005-0000-0000-000024000000}"/>
    <cellStyle name="Normální 2 3" xfId="46" xr:uid="{00000000-0005-0000-0000-000025000000}"/>
    <cellStyle name="Normální 2 3 2" xfId="47" xr:uid="{00000000-0005-0000-0000-000026000000}"/>
    <cellStyle name="Normální 2 4" xfId="48" xr:uid="{00000000-0005-0000-0000-000027000000}"/>
    <cellStyle name="Normální 2 4 2" xfId="49" xr:uid="{00000000-0005-0000-0000-000028000000}"/>
    <cellStyle name="normální 2 5" xfId="50" xr:uid="{00000000-0005-0000-0000-000029000000}"/>
    <cellStyle name="normální 2 6" xfId="51" xr:uid="{00000000-0005-0000-0000-00002A000000}"/>
    <cellStyle name="Normální 2 7" xfId="52" xr:uid="{00000000-0005-0000-0000-00002B000000}"/>
    <cellStyle name="normální 2 8" xfId="53" xr:uid="{00000000-0005-0000-0000-00002C000000}"/>
    <cellStyle name="normální 2 8 2" xfId="54" xr:uid="{00000000-0005-0000-0000-00002D000000}"/>
    <cellStyle name="Normální 3" xfId="6" xr:uid="{00000000-0005-0000-0000-00002E000000}"/>
    <cellStyle name="Normální 3 2" xfId="15" xr:uid="{00000000-0005-0000-0000-00002F000000}"/>
    <cellStyle name="Normální 3 3" xfId="55" xr:uid="{00000000-0005-0000-0000-000030000000}"/>
    <cellStyle name="Normální 4" xfId="7" xr:uid="{00000000-0005-0000-0000-000031000000}"/>
    <cellStyle name="Normální 4 10" xfId="56" xr:uid="{00000000-0005-0000-0000-000032000000}"/>
    <cellStyle name="normální 4 2" xfId="57" xr:uid="{00000000-0005-0000-0000-000033000000}"/>
    <cellStyle name="Normální 4 3" xfId="58" xr:uid="{00000000-0005-0000-0000-000034000000}"/>
    <cellStyle name="Normální 4 4" xfId="59" xr:uid="{00000000-0005-0000-0000-000035000000}"/>
    <cellStyle name="Normální 4 5" xfId="60" xr:uid="{00000000-0005-0000-0000-000036000000}"/>
    <cellStyle name="Normální 4 6" xfId="61" xr:uid="{00000000-0005-0000-0000-000037000000}"/>
    <cellStyle name="Normální 4 7" xfId="62" xr:uid="{00000000-0005-0000-0000-000038000000}"/>
    <cellStyle name="Normální 4 8" xfId="63" xr:uid="{00000000-0005-0000-0000-000039000000}"/>
    <cellStyle name="Normální 4 9" xfId="64" xr:uid="{00000000-0005-0000-0000-00003A000000}"/>
    <cellStyle name="Normální 5" xfId="8" xr:uid="{00000000-0005-0000-0000-00003B000000}"/>
    <cellStyle name="normální 5 10" xfId="65" xr:uid="{00000000-0005-0000-0000-00003C000000}"/>
    <cellStyle name="normální 5 2" xfId="66" xr:uid="{00000000-0005-0000-0000-00003D000000}"/>
    <cellStyle name="normální 5 3" xfId="67" xr:uid="{00000000-0005-0000-0000-00003E000000}"/>
    <cellStyle name="Normální 57" xfId="68" xr:uid="{00000000-0005-0000-0000-00003F000000}"/>
    <cellStyle name="Normální 6" xfId="9" xr:uid="{00000000-0005-0000-0000-000040000000}"/>
    <cellStyle name="normální 6 2" xfId="69" xr:uid="{00000000-0005-0000-0000-000041000000}"/>
    <cellStyle name="normální 6 3" xfId="70" xr:uid="{00000000-0005-0000-0000-000042000000}"/>
    <cellStyle name="normální 6 4" xfId="71" xr:uid="{00000000-0005-0000-0000-000043000000}"/>
    <cellStyle name="Normální 7" xfId="10" xr:uid="{00000000-0005-0000-0000-000044000000}"/>
    <cellStyle name="normální 7 2" xfId="72" xr:uid="{00000000-0005-0000-0000-000045000000}"/>
    <cellStyle name="normální 7 3" xfId="73" xr:uid="{00000000-0005-0000-0000-000046000000}"/>
    <cellStyle name="Normální 8" xfId="14" xr:uid="{00000000-0005-0000-0000-000047000000}"/>
    <cellStyle name="normální 8 2" xfId="74" xr:uid="{00000000-0005-0000-0000-000048000000}"/>
    <cellStyle name="Normální 8 2 2" xfId="84" xr:uid="{00000000-0005-0000-0000-000049000000}"/>
    <cellStyle name="normální 8 3" xfId="75" xr:uid="{00000000-0005-0000-0000-00004A000000}"/>
    <cellStyle name="normální 9" xfId="17" xr:uid="{00000000-0005-0000-0000-00004B000000}"/>
    <cellStyle name="normální 9 2" xfId="19" xr:uid="{00000000-0005-0000-0000-00004C000000}"/>
    <cellStyle name="normální 9 3" xfId="76" xr:uid="{00000000-0005-0000-0000-00004D000000}"/>
    <cellStyle name="normální 9 4" xfId="77" xr:uid="{00000000-0005-0000-0000-00004E000000}"/>
    <cellStyle name="normální 9 5" xfId="82" xr:uid="{00000000-0005-0000-0000-00004F000000}"/>
    <cellStyle name="Normální 9 6" xfId="88" xr:uid="{BA00A276-1F15-4B8B-8681-2AE25BF3E9F7}"/>
    <cellStyle name="normální_2014-02-21 D.1.1. ASR - BP a NS" xfId="90" xr:uid="{8241B70D-6438-4C51-BCE7-F6145A54620D}"/>
    <cellStyle name="normální_POL.XLS" xfId="1" xr:uid="{00000000-0005-0000-0000-000050000000}"/>
    <cellStyle name="normální_POL.XLS 2" xfId="91" xr:uid="{21A2D0E7-EA0C-4E26-BD22-23D17C72C394}"/>
    <cellStyle name="Podhlavička" xfId="78" xr:uid="{00000000-0005-0000-0000-000051000000}"/>
    <cellStyle name="pozice" xfId="79" xr:uid="{00000000-0005-0000-0000-000052000000}"/>
    <cellStyle name="pozice 2" xfId="80" xr:uid="{00000000-0005-0000-0000-000053000000}"/>
    <cellStyle name="procent 2" xfId="81" xr:uid="{00000000-0005-0000-0000-000054000000}"/>
    <cellStyle name="Styl 1" xfId="11" xr:uid="{00000000-0005-0000-0000-000055000000}"/>
    <cellStyle name="Währung" xfId="12" xr:uid="{00000000-0005-0000-0000-000056000000}"/>
    <cellStyle name="標準_IPS alpha BOQ ME forms detail_Mechanical_El." xfId="13" xr:uid="{00000000-0005-0000-0000-000057000000}"/>
  </cellStyles>
  <dxfs count="0"/>
  <tableStyles count="0" defaultTableStyle="TableStyleMedium2" defaultPivotStyle="PivotStyleMedium9"/>
  <colors>
    <mruColors>
      <color rgb="FF00FFCC"/>
      <color rgb="FF66FF33"/>
      <color rgb="FFFFFF99"/>
      <color rgb="FFFF00FF"/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70%20Nemocnice%20Frydek-Mistek/470-02%20Stav%20upravy%20ocni%20a%20ORL/4%20-%20PD/5%20-%20DSP+DPS/O&#268;N&#205;%20-%20A%20-%201.NP/ROZPOCET/ROZPOCET-EXCEL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23"/>
  <sheetViews>
    <sheetView tabSelected="1" zoomScaleNormal="100" workbookViewId="0">
      <selection activeCell="B1" sqref="B1"/>
    </sheetView>
  </sheetViews>
  <sheetFormatPr defaultRowHeight="10.199999999999999"/>
  <cols>
    <col min="1" max="1" width="11.6640625" style="69" customWidth="1"/>
    <col min="2" max="2" width="65" style="69" customWidth="1"/>
    <col min="3" max="3" width="18.33203125" style="69" customWidth="1"/>
    <col min="4" max="255" width="9.109375" style="69"/>
    <col min="256" max="256" width="11.6640625" style="69" customWidth="1"/>
    <col min="257" max="257" width="49.33203125" style="69" customWidth="1"/>
    <col min="258" max="259" width="17" style="69" customWidth="1"/>
    <col min="260" max="511" width="9.109375" style="69"/>
    <col min="512" max="512" width="11.6640625" style="69" customWidth="1"/>
    <col min="513" max="513" width="49.33203125" style="69" customWidth="1"/>
    <col min="514" max="515" width="17" style="69" customWidth="1"/>
    <col min="516" max="767" width="9.109375" style="69"/>
    <col min="768" max="768" width="11.6640625" style="69" customWidth="1"/>
    <col min="769" max="769" width="49.33203125" style="69" customWidth="1"/>
    <col min="770" max="771" width="17" style="69" customWidth="1"/>
    <col min="772" max="1023" width="9.109375" style="69"/>
    <col min="1024" max="1024" width="11.6640625" style="69" customWidth="1"/>
    <col min="1025" max="1025" width="49.33203125" style="69" customWidth="1"/>
    <col min="1026" max="1027" width="17" style="69" customWidth="1"/>
    <col min="1028" max="1279" width="9.109375" style="69"/>
    <col min="1280" max="1280" width="11.6640625" style="69" customWidth="1"/>
    <col min="1281" max="1281" width="49.33203125" style="69" customWidth="1"/>
    <col min="1282" max="1283" width="17" style="69" customWidth="1"/>
    <col min="1284" max="1535" width="9.109375" style="69"/>
    <col min="1536" max="1536" width="11.6640625" style="69" customWidth="1"/>
    <col min="1537" max="1537" width="49.33203125" style="69" customWidth="1"/>
    <col min="1538" max="1539" width="17" style="69" customWidth="1"/>
    <col min="1540" max="1791" width="9.109375" style="69"/>
    <col min="1792" max="1792" width="11.6640625" style="69" customWidth="1"/>
    <col min="1793" max="1793" width="49.33203125" style="69" customWidth="1"/>
    <col min="1794" max="1795" width="17" style="69" customWidth="1"/>
    <col min="1796" max="2047" width="9.109375" style="69"/>
    <col min="2048" max="2048" width="11.6640625" style="69" customWidth="1"/>
    <col min="2049" max="2049" width="49.33203125" style="69" customWidth="1"/>
    <col min="2050" max="2051" width="17" style="69" customWidth="1"/>
    <col min="2052" max="2303" width="9.109375" style="69"/>
    <col min="2304" max="2304" width="11.6640625" style="69" customWidth="1"/>
    <col min="2305" max="2305" width="49.33203125" style="69" customWidth="1"/>
    <col min="2306" max="2307" width="17" style="69" customWidth="1"/>
    <col min="2308" max="2559" width="9.109375" style="69"/>
    <col min="2560" max="2560" width="11.6640625" style="69" customWidth="1"/>
    <col min="2561" max="2561" width="49.33203125" style="69" customWidth="1"/>
    <col min="2562" max="2563" width="17" style="69" customWidth="1"/>
    <col min="2564" max="2815" width="9.109375" style="69"/>
    <col min="2816" max="2816" width="11.6640625" style="69" customWidth="1"/>
    <col min="2817" max="2817" width="49.33203125" style="69" customWidth="1"/>
    <col min="2818" max="2819" width="17" style="69" customWidth="1"/>
    <col min="2820" max="3071" width="9.109375" style="69"/>
    <col min="3072" max="3072" width="11.6640625" style="69" customWidth="1"/>
    <col min="3073" max="3073" width="49.33203125" style="69" customWidth="1"/>
    <col min="3074" max="3075" width="17" style="69" customWidth="1"/>
    <col min="3076" max="3327" width="9.109375" style="69"/>
    <col min="3328" max="3328" width="11.6640625" style="69" customWidth="1"/>
    <col min="3329" max="3329" width="49.33203125" style="69" customWidth="1"/>
    <col min="3330" max="3331" width="17" style="69" customWidth="1"/>
    <col min="3332" max="3583" width="9.109375" style="69"/>
    <col min="3584" max="3584" width="11.6640625" style="69" customWidth="1"/>
    <col min="3585" max="3585" width="49.33203125" style="69" customWidth="1"/>
    <col min="3586" max="3587" width="17" style="69" customWidth="1"/>
    <col min="3588" max="3839" width="9.109375" style="69"/>
    <col min="3840" max="3840" width="11.6640625" style="69" customWidth="1"/>
    <col min="3841" max="3841" width="49.33203125" style="69" customWidth="1"/>
    <col min="3842" max="3843" width="17" style="69" customWidth="1"/>
    <col min="3844" max="4095" width="9.109375" style="69"/>
    <col min="4096" max="4096" width="11.6640625" style="69" customWidth="1"/>
    <col min="4097" max="4097" width="49.33203125" style="69" customWidth="1"/>
    <col min="4098" max="4099" width="17" style="69" customWidth="1"/>
    <col min="4100" max="4351" width="9.109375" style="69"/>
    <col min="4352" max="4352" width="11.6640625" style="69" customWidth="1"/>
    <col min="4353" max="4353" width="49.33203125" style="69" customWidth="1"/>
    <col min="4354" max="4355" width="17" style="69" customWidth="1"/>
    <col min="4356" max="4607" width="9.109375" style="69"/>
    <col min="4608" max="4608" width="11.6640625" style="69" customWidth="1"/>
    <col min="4609" max="4609" width="49.33203125" style="69" customWidth="1"/>
    <col min="4610" max="4611" width="17" style="69" customWidth="1"/>
    <col min="4612" max="4863" width="9.109375" style="69"/>
    <col min="4864" max="4864" width="11.6640625" style="69" customWidth="1"/>
    <col min="4865" max="4865" width="49.33203125" style="69" customWidth="1"/>
    <col min="4866" max="4867" width="17" style="69" customWidth="1"/>
    <col min="4868" max="5119" width="9.109375" style="69"/>
    <col min="5120" max="5120" width="11.6640625" style="69" customWidth="1"/>
    <col min="5121" max="5121" width="49.33203125" style="69" customWidth="1"/>
    <col min="5122" max="5123" width="17" style="69" customWidth="1"/>
    <col min="5124" max="5375" width="9.109375" style="69"/>
    <col min="5376" max="5376" width="11.6640625" style="69" customWidth="1"/>
    <col min="5377" max="5377" width="49.33203125" style="69" customWidth="1"/>
    <col min="5378" max="5379" width="17" style="69" customWidth="1"/>
    <col min="5380" max="5631" width="9.109375" style="69"/>
    <col min="5632" max="5632" width="11.6640625" style="69" customWidth="1"/>
    <col min="5633" max="5633" width="49.33203125" style="69" customWidth="1"/>
    <col min="5634" max="5635" width="17" style="69" customWidth="1"/>
    <col min="5636" max="5887" width="9.109375" style="69"/>
    <col min="5888" max="5888" width="11.6640625" style="69" customWidth="1"/>
    <col min="5889" max="5889" width="49.33203125" style="69" customWidth="1"/>
    <col min="5890" max="5891" width="17" style="69" customWidth="1"/>
    <col min="5892" max="6143" width="9.109375" style="69"/>
    <col min="6144" max="6144" width="11.6640625" style="69" customWidth="1"/>
    <col min="6145" max="6145" width="49.33203125" style="69" customWidth="1"/>
    <col min="6146" max="6147" width="17" style="69" customWidth="1"/>
    <col min="6148" max="6399" width="9.109375" style="69"/>
    <col min="6400" max="6400" width="11.6640625" style="69" customWidth="1"/>
    <col min="6401" max="6401" width="49.33203125" style="69" customWidth="1"/>
    <col min="6402" max="6403" width="17" style="69" customWidth="1"/>
    <col min="6404" max="6655" width="9.109375" style="69"/>
    <col min="6656" max="6656" width="11.6640625" style="69" customWidth="1"/>
    <col min="6657" max="6657" width="49.33203125" style="69" customWidth="1"/>
    <col min="6658" max="6659" width="17" style="69" customWidth="1"/>
    <col min="6660" max="6911" width="9.109375" style="69"/>
    <col min="6912" max="6912" width="11.6640625" style="69" customWidth="1"/>
    <col min="6913" max="6913" width="49.33203125" style="69" customWidth="1"/>
    <col min="6914" max="6915" width="17" style="69" customWidth="1"/>
    <col min="6916" max="7167" width="9.109375" style="69"/>
    <col min="7168" max="7168" width="11.6640625" style="69" customWidth="1"/>
    <col min="7169" max="7169" width="49.33203125" style="69" customWidth="1"/>
    <col min="7170" max="7171" width="17" style="69" customWidth="1"/>
    <col min="7172" max="7423" width="9.109375" style="69"/>
    <col min="7424" max="7424" width="11.6640625" style="69" customWidth="1"/>
    <col min="7425" max="7425" width="49.33203125" style="69" customWidth="1"/>
    <col min="7426" max="7427" width="17" style="69" customWidth="1"/>
    <col min="7428" max="7679" width="9.109375" style="69"/>
    <col min="7680" max="7680" width="11.6640625" style="69" customWidth="1"/>
    <col min="7681" max="7681" width="49.33203125" style="69" customWidth="1"/>
    <col min="7682" max="7683" width="17" style="69" customWidth="1"/>
    <col min="7684" max="7935" width="9.109375" style="69"/>
    <col min="7936" max="7936" width="11.6640625" style="69" customWidth="1"/>
    <col min="7937" max="7937" width="49.33203125" style="69" customWidth="1"/>
    <col min="7938" max="7939" width="17" style="69" customWidth="1"/>
    <col min="7940" max="8191" width="9.109375" style="69"/>
    <col min="8192" max="8192" width="11.6640625" style="69" customWidth="1"/>
    <col min="8193" max="8193" width="49.33203125" style="69" customWidth="1"/>
    <col min="8194" max="8195" width="17" style="69" customWidth="1"/>
    <col min="8196" max="8447" width="9.109375" style="69"/>
    <col min="8448" max="8448" width="11.6640625" style="69" customWidth="1"/>
    <col min="8449" max="8449" width="49.33203125" style="69" customWidth="1"/>
    <col min="8450" max="8451" width="17" style="69" customWidth="1"/>
    <col min="8452" max="8703" width="9.109375" style="69"/>
    <col min="8704" max="8704" width="11.6640625" style="69" customWidth="1"/>
    <col min="8705" max="8705" width="49.33203125" style="69" customWidth="1"/>
    <col min="8706" max="8707" width="17" style="69" customWidth="1"/>
    <col min="8708" max="8959" width="9.109375" style="69"/>
    <col min="8960" max="8960" width="11.6640625" style="69" customWidth="1"/>
    <col min="8961" max="8961" width="49.33203125" style="69" customWidth="1"/>
    <col min="8962" max="8963" width="17" style="69" customWidth="1"/>
    <col min="8964" max="9215" width="9.109375" style="69"/>
    <col min="9216" max="9216" width="11.6640625" style="69" customWidth="1"/>
    <col min="9217" max="9217" width="49.33203125" style="69" customWidth="1"/>
    <col min="9218" max="9219" width="17" style="69" customWidth="1"/>
    <col min="9220" max="9471" width="9.109375" style="69"/>
    <col min="9472" max="9472" width="11.6640625" style="69" customWidth="1"/>
    <col min="9473" max="9473" width="49.33203125" style="69" customWidth="1"/>
    <col min="9474" max="9475" width="17" style="69" customWidth="1"/>
    <col min="9476" max="9727" width="9.109375" style="69"/>
    <col min="9728" max="9728" width="11.6640625" style="69" customWidth="1"/>
    <col min="9729" max="9729" width="49.33203125" style="69" customWidth="1"/>
    <col min="9730" max="9731" width="17" style="69" customWidth="1"/>
    <col min="9732" max="9983" width="9.109375" style="69"/>
    <col min="9984" max="9984" width="11.6640625" style="69" customWidth="1"/>
    <col min="9985" max="9985" width="49.33203125" style="69" customWidth="1"/>
    <col min="9986" max="9987" width="17" style="69" customWidth="1"/>
    <col min="9988" max="10239" width="9.109375" style="69"/>
    <col min="10240" max="10240" width="11.6640625" style="69" customWidth="1"/>
    <col min="10241" max="10241" width="49.33203125" style="69" customWidth="1"/>
    <col min="10242" max="10243" width="17" style="69" customWidth="1"/>
    <col min="10244" max="10495" width="9.109375" style="69"/>
    <col min="10496" max="10496" width="11.6640625" style="69" customWidth="1"/>
    <col min="10497" max="10497" width="49.33203125" style="69" customWidth="1"/>
    <col min="10498" max="10499" width="17" style="69" customWidth="1"/>
    <col min="10500" max="10751" width="9.109375" style="69"/>
    <col min="10752" max="10752" width="11.6640625" style="69" customWidth="1"/>
    <col min="10753" max="10753" width="49.33203125" style="69" customWidth="1"/>
    <col min="10754" max="10755" width="17" style="69" customWidth="1"/>
    <col min="10756" max="11007" width="9.109375" style="69"/>
    <col min="11008" max="11008" width="11.6640625" style="69" customWidth="1"/>
    <col min="11009" max="11009" width="49.33203125" style="69" customWidth="1"/>
    <col min="11010" max="11011" width="17" style="69" customWidth="1"/>
    <col min="11012" max="11263" width="9.109375" style="69"/>
    <col min="11264" max="11264" width="11.6640625" style="69" customWidth="1"/>
    <col min="11265" max="11265" width="49.33203125" style="69" customWidth="1"/>
    <col min="11266" max="11267" width="17" style="69" customWidth="1"/>
    <col min="11268" max="11519" width="9.109375" style="69"/>
    <col min="11520" max="11520" width="11.6640625" style="69" customWidth="1"/>
    <col min="11521" max="11521" width="49.33203125" style="69" customWidth="1"/>
    <col min="11522" max="11523" width="17" style="69" customWidth="1"/>
    <col min="11524" max="11775" width="9.109375" style="69"/>
    <col min="11776" max="11776" width="11.6640625" style="69" customWidth="1"/>
    <col min="11777" max="11777" width="49.33203125" style="69" customWidth="1"/>
    <col min="11778" max="11779" width="17" style="69" customWidth="1"/>
    <col min="11780" max="12031" width="9.109375" style="69"/>
    <col min="12032" max="12032" width="11.6640625" style="69" customWidth="1"/>
    <col min="12033" max="12033" width="49.33203125" style="69" customWidth="1"/>
    <col min="12034" max="12035" width="17" style="69" customWidth="1"/>
    <col min="12036" max="12287" width="9.109375" style="69"/>
    <col min="12288" max="12288" width="11.6640625" style="69" customWidth="1"/>
    <col min="12289" max="12289" width="49.33203125" style="69" customWidth="1"/>
    <col min="12290" max="12291" width="17" style="69" customWidth="1"/>
    <col min="12292" max="12543" width="9.109375" style="69"/>
    <col min="12544" max="12544" width="11.6640625" style="69" customWidth="1"/>
    <col min="12545" max="12545" width="49.33203125" style="69" customWidth="1"/>
    <col min="12546" max="12547" width="17" style="69" customWidth="1"/>
    <col min="12548" max="12799" width="9.109375" style="69"/>
    <col min="12800" max="12800" width="11.6640625" style="69" customWidth="1"/>
    <col min="12801" max="12801" width="49.33203125" style="69" customWidth="1"/>
    <col min="12802" max="12803" width="17" style="69" customWidth="1"/>
    <col min="12804" max="13055" width="9.109375" style="69"/>
    <col min="13056" max="13056" width="11.6640625" style="69" customWidth="1"/>
    <col min="13057" max="13057" width="49.33203125" style="69" customWidth="1"/>
    <col min="13058" max="13059" width="17" style="69" customWidth="1"/>
    <col min="13060" max="13311" width="9.109375" style="69"/>
    <col min="13312" max="13312" width="11.6640625" style="69" customWidth="1"/>
    <col min="13313" max="13313" width="49.33203125" style="69" customWidth="1"/>
    <col min="13314" max="13315" width="17" style="69" customWidth="1"/>
    <col min="13316" max="13567" width="9.109375" style="69"/>
    <col min="13568" max="13568" width="11.6640625" style="69" customWidth="1"/>
    <col min="13569" max="13569" width="49.33203125" style="69" customWidth="1"/>
    <col min="13570" max="13571" width="17" style="69" customWidth="1"/>
    <col min="13572" max="13823" width="9.109375" style="69"/>
    <col min="13824" max="13824" width="11.6640625" style="69" customWidth="1"/>
    <col min="13825" max="13825" width="49.33203125" style="69" customWidth="1"/>
    <col min="13826" max="13827" width="17" style="69" customWidth="1"/>
    <col min="13828" max="14079" width="9.109375" style="69"/>
    <col min="14080" max="14080" width="11.6640625" style="69" customWidth="1"/>
    <col min="14081" max="14081" width="49.33203125" style="69" customWidth="1"/>
    <col min="14082" max="14083" width="17" style="69" customWidth="1"/>
    <col min="14084" max="14335" width="9.109375" style="69"/>
    <col min="14336" max="14336" width="11.6640625" style="69" customWidth="1"/>
    <col min="14337" max="14337" width="49.33203125" style="69" customWidth="1"/>
    <col min="14338" max="14339" width="17" style="69" customWidth="1"/>
    <col min="14340" max="14591" width="9.109375" style="69"/>
    <col min="14592" max="14592" width="11.6640625" style="69" customWidth="1"/>
    <col min="14593" max="14593" width="49.33203125" style="69" customWidth="1"/>
    <col min="14594" max="14595" width="17" style="69" customWidth="1"/>
    <col min="14596" max="14847" width="9.109375" style="69"/>
    <col min="14848" max="14848" width="11.6640625" style="69" customWidth="1"/>
    <col min="14849" max="14849" width="49.33203125" style="69" customWidth="1"/>
    <col min="14850" max="14851" width="17" style="69" customWidth="1"/>
    <col min="14852" max="15103" width="9.109375" style="69"/>
    <col min="15104" max="15104" width="11.6640625" style="69" customWidth="1"/>
    <col min="15105" max="15105" width="49.33203125" style="69" customWidth="1"/>
    <col min="15106" max="15107" width="17" style="69" customWidth="1"/>
    <col min="15108" max="15359" width="9.109375" style="69"/>
    <col min="15360" max="15360" width="11.6640625" style="69" customWidth="1"/>
    <col min="15361" max="15361" width="49.33203125" style="69" customWidth="1"/>
    <col min="15362" max="15363" width="17" style="69" customWidth="1"/>
    <col min="15364" max="15615" width="9.109375" style="69"/>
    <col min="15616" max="15616" width="11.6640625" style="69" customWidth="1"/>
    <col min="15617" max="15617" width="49.33203125" style="69" customWidth="1"/>
    <col min="15618" max="15619" width="17" style="69" customWidth="1"/>
    <col min="15620" max="15871" width="9.109375" style="69"/>
    <col min="15872" max="15872" width="11.6640625" style="69" customWidth="1"/>
    <col min="15873" max="15873" width="49.33203125" style="69" customWidth="1"/>
    <col min="15874" max="15875" width="17" style="69" customWidth="1"/>
    <col min="15876" max="16127" width="9.109375" style="69"/>
    <col min="16128" max="16128" width="11.6640625" style="69" customWidth="1"/>
    <col min="16129" max="16129" width="49.33203125" style="69" customWidth="1"/>
    <col min="16130" max="16131" width="17" style="69" customWidth="1"/>
    <col min="16132" max="16384" width="9.109375" style="69"/>
  </cols>
  <sheetData>
    <row r="1" spans="1:253" s="67" customFormat="1" ht="17.399999999999999">
      <c r="A1" s="19" t="s">
        <v>76</v>
      </c>
      <c r="B1" s="20"/>
      <c r="C1" s="20"/>
      <c r="D1" s="20"/>
      <c r="E1" s="20"/>
      <c r="F1" s="20"/>
      <c r="G1" s="20"/>
      <c r="H1" s="66"/>
    </row>
    <row r="2" spans="1:253" s="21" customFormat="1" ht="15.75" customHeight="1">
      <c r="A2" s="53" t="s">
        <v>507</v>
      </c>
      <c r="B2"/>
      <c r="C2"/>
      <c r="D2" s="41"/>
      <c r="E2" s="41"/>
      <c r="F2" s="41"/>
      <c r="G2" s="41"/>
    </row>
    <row r="3" spans="1:253" s="21" customFormat="1" ht="12">
      <c r="A3" s="448" t="s">
        <v>93</v>
      </c>
      <c r="B3" s="449"/>
    </row>
    <row r="4" spans="1:253" s="21" customFormat="1" ht="12">
      <c r="A4" s="55" t="s">
        <v>253</v>
      </c>
      <c r="B4" s="68"/>
      <c r="C4" s="68"/>
    </row>
    <row r="5" spans="1:253" ht="13.5" customHeight="1">
      <c r="A5" s="3"/>
      <c r="B5" s="3"/>
    </row>
    <row r="6" spans="1:253" ht="29.25" customHeight="1">
      <c r="A6" s="23" t="s">
        <v>26</v>
      </c>
      <c r="B6" s="24" t="s">
        <v>3</v>
      </c>
      <c r="C6" s="25" t="s">
        <v>166</v>
      </c>
    </row>
    <row r="7" spans="1:253" ht="12.6" customHeight="1">
      <c r="A7" s="4">
        <v>1</v>
      </c>
      <c r="B7" s="5">
        <v>2</v>
      </c>
      <c r="C7" s="70"/>
    </row>
    <row r="8" spans="1:253" ht="21" customHeight="1">
      <c r="A8" s="71"/>
      <c r="B8" s="72"/>
      <c r="C8" s="73"/>
    </row>
    <row r="9" spans="1:253" ht="13.5" customHeight="1">
      <c r="A9" s="6" t="s">
        <v>16</v>
      </c>
      <c r="B9" s="7" t="s">
        <v>17</v>
      </c>
      <c r="C9" s="43">
        <f>SUM(C10:C13)</f>
        <v>0</v>
      </c>
    </row>
    <row r="10" spans="1:253" ht="13.5" customHeight="1">
      <c r="A10" s="27">
        <v>3</v>
      </c>
      <c r="B10" s="28" t="s">
        <v>123</v>
      </c>
      <c r="C10" s="44">
        <f>'NOVÝ STAV'!H10</f>
        <v>0</v>
      </c>
    </row>
    <row r="11" spans="1:253" ht="13.5" customHeight="1">
      <c r="A11" s="27">
        <v>6</v>
      </c>
      <c r="B11" s="28" t="s">
        <v>25</v>
      </c>
      <c r="C11" s="44">
        <f>'NOVÝ STAV'!H19</f>
        <v>0</v>
      </c>
    </row>
    <row r="12" spans="1:253" ht="13.5" customHeight="1">
      <c r="A12" s="27">
        <v>9</v>
      </c>
      <c r="B12" s="28" t="s">
        <v>24</v>
      </c>
      <c r="C12" s="44">
        <f>'NOVÝ STAV'!H100</f>
        <v>0</v>
      </c>
    </row>
    <row r="13" spans="1:253" s="74" customFormat="1" ht="13.5" customHeight="1">
      <c r="A13" s="30">
        <v>99</v>
      </c>
      <c r="B13" s="31" t="s">
        <v>44</v>
      </c>
      <c r="C13" s="45">
        <f>'NOVÝ STAV'!H159</f>
        <v>0</v>
      </c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69"/>
      <c r="CF13" s="69"/>
      <c r="CG13" s="69"/>
      <c r="CH13" s="69"/>
      <c r="CI13" s="69"/>
      <c r="CJ13" s="69"/>
      <c r="CK13" s="69"/>
      <c r="CL13" s="69"/>
      <c r="CM13" s="69"/>
      <c r="CN13" s="69"/>
      <c r="CO13" s="69"/>
      <c r="CP13" s="69"/>
      <c r="CQ13" s="69"/>
      <c r="CR13" s="69"/>
      <c r="CS13" s="69"/>
      <c r="CT13" s="69"/>
      <c r="CU13" s="69"/>
      <c r="CV13" s="69"/>
      <c r="CW13" s="69"/>
      <c r="CX13" s="69"/>
      <c r="CY13" s="69"/>
      <c r="CZ13" s="69"/>
      <c r="DA13" s="69"/>
      <c r="DB13" s="69"/>
      <c r="DC13" s="69"/>
      <c r="DD13" s="69"/>
      <c r="DE13" s="69"/>
      <c r="DF13" s="69"/>
      <c r="DG13" s="69"/>
      <c r="DH13" s="69"/>
      <c r="DI13" s="69"/>
      <c r="DJ13" s="69"/>
      <c r="DK13" s="69"/>
      <c r="DL13" s="69"/>
      <c r="DM13" s="69"/>
      <c r="DN13" s="69"/>
      <c r="DO13" s="69"/>
      <c r="DP13" s="69"/>
      <c r="DQ13" s="69"/>
      <c r="DR13" s="69"/>
      <c r="DS13" s="69"/>
      <c r="DT13" s="69"/>
      <c r="DU13" s="69"/>
      <c r="DV13" s="69"/>
      <c r="DW13" s="69"/>
      <c r="DX13" s="69"/>
      <c r="DY13" s="69"/>
      <c r="DZ13" s="69"/>
      <c r="EA13" s="69"/>
      <c r="EB13" s="69"/>
      <c r="EC13" s="69"/>
      <c r="ED13" s="69"/>
      <c r="EE13" s="69"/>
      <c r="EF13" s="69"/>
      <c r="EG13" s="69"/>
      <c r="EH13" s="69"/>
      <c r="EI13" s="69"/>
      <c r="EJ13" s="69"/>
      <c r="EK13" s="69"/>
      <c r="EL13" s="69"/>
      <c r="EM13" s="69"/>
      <c r="EN13" s="69"/>
      <c r="EO13" s="69"/>
      <c r="EP13" s="69"/>
      <c r="EQ13" s="69"/>
      <c r="ER13" s="69"/>
      <c r="ES13" s="69"/>
      <c r="ET13" s="69"/>
      <c r="EU13" s="69"/>
      <c r="EV13" s="69"/>
      <c r="EW13" s="69"/>
      <c r="EX13" s="69"/>
      <c r="EY13" s="69"/>
      <c r="EZ13" s="69"/>
      <c r="FA13" s="69"/>
      <c r="FB13" s="69"/>
      <c r="FC13" s="69"/>
      <c r="FD13" s="69"/>
      <c r="FE13" s="69"/>
      <c r="FF13" s="69"/>
      <c r="FG13" s="69"/>
      <c r="FH13" s="69"/>
      <c r="FI13" s="69"/>
      <c r="FJ13" s="69"/>
      <c r="FK13" s="69"/>
      <c r="FL13" s="69"/>
      <c r="FM13" s="69"/>
      <c r="FN13" s="69"/>
      <c r="FO13" s="69"/>
      <c r="FP13" s="69"/>
      <c r="FQ13" s="69"/>
      <c r="FR13" s="69"/>
      <c r="FS13" s="69"/>
      <c r="FT13" s="69"/>
      <c r="FU13" s="69"/>
      <c r="FV13" s="69"/>
      <c r="FW13" s="69"/>
      <c r="FX13" s="69"/>
      <c r="FY13" s="69"/>
      <c r="FZ13" s="69"/>
      <c r="GA13" s="69"/>
      <c r="GB13" s="69"/>
      <c r="GC13" s="69"/>
      <c r="GD13" s="69"/>
      <c r="GE13" s="69"/>
      <c r="GF13" s="69"/>
      <c r="GG13" s="69"/>
      <c r="GH13" s="69"/>
      <c r="GI13" s="69"/>
      <c r="GJ13" s="69"/>
      <c r="GK13" s="69"/>
      <c r="GL13" s="69"/>
      <c r="GM13" s="69"/>
      <c r="GN13" s="69"/>
      <c r="GO13" s="69"/>
      <c r="GP13" s="69"/>
      <c r="GQ13" s="69"/>
      <c r="GR13" s="69"/>
      <c r="GS13" s="69"/>
      <c r="GT13" s="69"/>
      <c r="GU13" s="69"/>
      <c r="GV13" s="69"/>
      <c r="GW13" s="69"/>
      <c r="GX13" s="69"/>
      <c r="GY13" s="69"/>
      <c r="GZ13" s="69"/>
      <c r="HA13" s="69"/>
      <c r="HB13" s="69"/>
      <c r="HC13" s="69"/>
      <c r="HD13" s="69"/>
      <c r="HE13" s="69"/>
      <c r="HF13" s="69"/>
      <c r="HG13" s="69"/>
      <c r="HH13" s="69"/>
      <c r="HI13" s="69"/>
      <c r="HJ13" s="69"/>
      <c r="HK13" s="69"/>
      <c r="HL13" s="69"/>
      <c r="HM13" s="69"/>
      <c r="HN13" s="69"/>
      <c r="HO13" s="69"/>
      <c r="HP13" s="69"/>
      <c r="HQ13" s="69"/>
      <c r="HR13" s="69"/>
      <c r="HS13" s="69"/>
      <c r="HT13" s="69"/>
      <c r="HU13" s="69"/>
      <c r="HV13" s="69"/>
      <c r="HW13" s="69"/>
      <c r="HX13" s="69"/>
      <c r="HY13" s="69"/>
      <c r="HZ13" s="69"/>
      <c r="IA13" s="69"/>
      <c r="IB13" s="69"/>
      <c r="IC13" s="69"/>
      <c r="ID13" s="69"/>
      <c r="IE13" s="69"/>
      <c r="IF13" s="69"/>
      <c r="IG13" s="69"/>
      <c r="IH13" s="69"/>
      <c r="II13" s="69"/>
      <c r="IJ13" s="69"/>
      <c r="IK13" s="69"/>
      <c r="IL13" s="69"/>
      <c r="IM13" s="69"/>
      <c r="IN13" s="69"/>
      <c r="IO13" s="69"/>
      <c r="IP13" s="69"/>
      <c r="IQ13" s="69"/>
      <c r="IR13" s="69"/>
      <c r="IS13" s="69"/>
    </row>
    <row r="14" spans="1:253" ht="13.5" customHeight="1">
      <c r="A14" s="6" t="s">
        <v>21</v>
      </c>
      <c r="B14" s="7" t="s">
        <v>22</v>
      </c>
      <c r="C14" s="43">
        <f>SUM(C15:C20)</f>
        <v>0</v>
      </c>
    </row>
    <row r="15" spans="1:253" ht="13.5" customHeight="1">
      <c r="A15" s="27">
        <v>714</v>
      </c>
      <c r="B15" s="28" t="s">
        <v>312</v>
      </c>
      <c r="C15" s="44">
        <f>'NOVÝ STAV'!H164</f>
        <v>0</v>
      </c>
    </row>
    <row r="16" spans="1:253" ht="13.5" customHeight="1">
      <c r="A16" s="27">
        <v>751</v>
      </c>
      <c r="B16" s="28" t="s">
        <v>494</v>
      </c>
      <c r="C16" s="44">
        <f>'NOVÝ STAV'!H173</f>
        <v>0</v>
      </c>
    </row>
    <row r="17" spans="1:3" ht="13.5" customHeight="1">
      <c r="A17" s="27">
        <v>763</v>
      </c>
      <c r="B17" s="28" t="s">
        <v>27</v>
      </c>
      <c r="C17" s="44">
        <f>'NOVÝ STAV'!H192</f>
        <v>0</v>
      </c>
    </row>
    <row r="18" spans="1:3" ht="13.5" customHeight="1">
      <c r="A18" s="27">
        <v>776</v>
      </c>
      <c r="B18" s="28" t="s">
        <v>61</v>
      </c>
      <c r="C18" s="44">
        <f>'NOVÝ STAV'!H281</f>
        <v>0</v>
      </c>
    </row>
    <row r="19" spans="1:3" ht="13.5" customHeight="1">
      <c r="A19" s="27">
        <v>784</v>
      </c>
      <c r="B19" s="28" t="s">
        <v>72</v>
      </c>
      <c r="C19" s="44">
        <f>'NOVÝ STAV'!H428</f>
        <v>0</v>
      </c>
    </row>
    <row r="20" spans="1:3" ht="13.5" customHeight="1">
      <c r="A20" s="27">
        <v>790</v>
      </c>
      <c r="B20" s="28" t="s">
        <v>234</v>
      </c>
      <c r="C20" s="44">
        <f>'NOVÝ STAV'!H499</f>
        <v>0</v>
      </c>
    </row>
    <row r="21" spans="1:3" ht="13.5" customHeight="1">
      <c r="A21" s="6" t="s">
        <v>126</v>
      </c>
      <c r="B21" s="7" t="s">
        <v>127</v>
      </c>
      <c r="C21" s="43">
        <f>SUM(C22)</f>
        <v>0</v>
      </c>
    </row>
    <row r="22" spans="1:3" ht="13.5" customHeight="1">
      <c r="A22" s="27" t="s">
        <v>128</v>
      </c>
      <c r="B22" s="28" t="s">
        <v>129</v>
      </c>
      <c r="C22" s="44">
        <f>'NOVÝ STAV'!H509</f>
        <v>0</v>
      </c>
    </row>
    <row r="23" spans="1:3" ht="27" customHeight="1">
      <c r="A23" s="8"/>
      <c r="B23" s="22" t="s">
        <v>244</v>
      </c>
      <c r="C23" s="46">
        <f>C14+C9+C21</f>
        <v>0</v>
      </c>
    </row>
  </sheetData>
  <sheetProtection algorithmName="SHA-512" hashValue="ya4xeCxMZubV53/SbdqS2V+TRHWUuF3ZE+Ly15wFG8X7wO6BFjJviGG8sS3YVC0WuIVc06mpdWzu7uq0odL6cQ==" saltValue="dEgH+5nDPg2kz4wHh0DJIw==" spinCount="100000" sheet="1" objects="1" scenarios="1"/>
  <mergeCells count="1">
    <mergeCell ref="A3:B3"/>
  </mergeCells>
  <printOptions horizontalCentered="1"/>
  <pageMargins left="0.39370078740157483" right="0.39370078740157483" top="0.78740157480314965" bottom="0.39370078740157483" header="0.51181102362204722" footer="0.51181102362204722"/>
  <pageSetup paperSize="9" fitToHeight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E3799-A2E8-49DF-A58E-FF46CB7A484B}">
  <sheetPr>
    <pageSetUpPr fitToPage="1"/>
  </sheetPr>
  <dimension ref="A1:IV534"/>
  <sheetViews>
    <sheetView zoomScaleNormal="100" workbookViewId="0">
      <selection activeCell="E413" sqref="E413"/>
    </sheetView>
  </sheetViews>
  <sheetFormatPr defaultColWidth="9" defaultRowHeight="12" customHeight="1"/>
  <cols>
    <col min="1" max="1" width="4.109375" style="71" customWidth="1"/>
    <col min="2" max="2" width="4.33203125" style="72" customWidth="1"/>
    <col min="3" max="3" width="13.5546875" style="72" customWidth="1"/>
    <col min="4" max="4" width="65" style="72" customWidth="1"/>
    <col min="5" max="5" width="6.6640625" style="72" customWidth="1"/>
    <col min="6" max="6" width="8.44140625" style="444" customWidth="1"/>
    <col min="7" max="7" width="10" style="445" customWidth="1"/>
    <col min="8" max="8" width="15.6640625" style="445" customWidth="1"/>
    <col min="9" max="9" width="18.109375" style="74" customWidth="1"/>
    <col min="10" max="10" width="18" style="74" customWidth="1"/>
    <col min="11" max="11" width="14.109375" style="74" bestFit="1" customWidth="1"/>
    <col min="12" max="12" width="15.5546875" style="74" customWidth="1"/>
    <col min="13" max="13" width="14" style="74" bestFit="1" customWidth="1"/>
    <col min="14" max="14" width="11.109375" style="74" customWidth="1"/>
    <col min="15" max="15" width="10.33203125" style="74" bestFit="1" customWidth="1"/>
    <col min="16" max="16" width="10" style="74" customWidth="1"/>
    <col min="17" max="17" width="14.44140625" style="74" customWidth="1"/>
    <col min="18" max="18" width="10.109375" style="74" bestFit="1" customWidth="1"/>
    <col min="19" max="255" width="9" style="74"/>
    <col min="256" max="256" width="4.109375" style="74" customWidth="1"/>
    <col min="257" max="257" width="4.33203125" style="74" customWidth="1"/>
    <col min="258" max="258" width="13.5546875" style="74" customWidth="1"/>
    <col min="259" max="259" width="65" style="74" customWidth="1"/>
    <col min="260" max="260" width="6.6640625" style="74" customWidth="1"/>
    <col min="261" max="261" width="8.44140625" style="74" customWidth="1"/>
    <col min="262" max="262" width="10" style="74" customWidth="1"/>
    <col min="263" max="263" width="15.6640625" style="74" customWidth="1"/>
    <col min="264" max="264" width="18.109375" style="74" customWidth="1"/>
    <col min="265" max="265" width="15.88671875" style="74" customWidth="1"/>
    <col min="266" max="266" width="11.44140625" style="74" bestFit="1" customWidth="1"/>
    <col min="267" max="267" width="10.6640625" style="74" bestFit="1" customWidth="1"/>
    <col min="268" max="268" width="14" style="74" bestFit="1" customWidth="1"/>
    <col min="269" max="269" width="10" style="74" bestFit="1" customWidth="1"/>
    <col min="270" max="270" width="10.33203125" style="74" bestFit="1" customWidth="1"/>
    <col min="271" max="271" width="10" style="74" customWidth="1"/>
    <col min="272" max="272" width="12.6640625" style="74" customWidth="1"/>
    <col min="273" max="273" width="14.6640625" style="74" customWidth="1"/>
    <col min="274" max="274" width="10.109375" style="74" bestFit="1" customWidth="1"/>
    <col min="275" max="511" width="9" style="74"/>
    <col min="512" max="512" width="4.109375" style="74" customWidth="1"/>
    <col min="513" max="513" width="4.33203125" style="74" customWidth="1"/>
    <col min="514" max="514" width="13.5546875" style="74" customWidth="1"/>
    <col min="515" max="515" width="65" style="74" customWidth="1"/>
    <col min="516" max="516" width="6.6640625" style="74" customWidth="1"/>
    <col min="517" max="517" width="8.44140625" style="74" customWidth="1"/>
    <col min="518" max="518" width="10" style="74" customWidth="1"/>
    <col min="519" max="519" width="15.6640625" style="74" customWidth="1"/>
    <col min="520" max="520" width="18.109375" style="74" customWidth="1"/>
    <col min="521" max="521" width="15.88671875" style="74" customWidth="1"/>
    <col min="522" max="522" width="11.44140625" style="74" bestFit="1" customWidth="1"/>
    <col min="523" max="523" width="10.6640625" style="74" bestFit="1" customWidth="1"/>
    <col min="524" max="524" width="14" style="74" bestFit="1" customWidth="1"/>
    <col min="525" max="525" width="10" style="74" bestFit="1" customWidth="1"/>
    <col min="526" max="526" width="10.33203125" style="74" bestFit="1" customWidth="1"/>
    <col min="527" max="527" width="10" style="74" customWidth="1"/>
    <col min="528" max="528" width="12.6640625" style="74" customWidth="1"/>
    <col min="529" max="529" width="14.6640625" style="74" customWidth="1"/>
    <col min="530" max="530" width="10.109375" style="74" bestFit="1" customWidth="1"/>
    <col min="531" max="767" width="9" style="74"/>
    <col min="768" max="768" width="4.109375" style="74" customWidth="1"/>
    <col min="769" max="769" width="4.33203125" style="74" customWidth="1"/>
    <col min="770" max="770" width="13.5546875" style="74" customWidth="1"/>
    <col min="771" max="771" width="65" style="74" customWidth="1"/>
    <col min="772" max="772" width="6.6640625" style="74" customWidth="1"/>
    <col min="773" max="773" width="8.44140625" style="74" customWidth="1"/>
    <col min="774" max="774" width="10" style="74" customWidth="1"/>
    <col min="775" max="775" width="15.6640625" style="74" customWidth="1"/>
    <col min="776" max="776" width="18.109375" style="74" customWidth="1"/>
    <col min="777" max="777" width="15.88671875" style="74" customWidth="1"/>
    <col min="778" max="778" width="11.44140625" style="74" bestFit="1" customWidth="1"/>
    <col min="779" max="779" width="10.6640625" style="74" bestFit="1" customWidth="1"/>
    <col min="780" max="780" width="14" style="74" bestFit="1" customWidth="1"/>
    <col min="781" max="781" width="10" style="74" bestFit="1" customWidth="1"/>
    <col min="782" max="782" width="10.33203125" style="74" bestFit="1" customWidth="1"/>
    <col min="783" max="783" width="10" style="74" customWidth="1"/>
    <col min="784" max="784" width="12.6640625" style="74" customWidth="1"/>
    <col min="785" max="785" width="14.6640625" style="74" customWidth="1"/>
    <col min="786" max="786" width="10.109375" style="74" bestFit="1" customWidth="1"/>
    <col min="787" max="1023" width="9" style="74"/>
    <col min="1024" max="1024" width="4.109375" style="74" customWidth="1"/>
    <col min="1025" max="1025" width="4.33203125" style="74" customWidth="1"/>
    <col min="1026" max="1026" width="13.5546875" style="74" customWidth="1"/>
    <col min="1027" max="1027" width="65" style="74" customWidth="1"/>
    <col min="1028" max="1028" width="6.6640625" style="74" customWidth="1"/>
    <col min="1029" max="1029" width="8.44140625" style="74" customWidth="1"/>
    <col min="1030" max="1030" width="10" style="74" customWidth="1"/>
    <col min="1031" max="1031" width="15.6640625" style="74" customWidth="1"/>
    <col min="1032" max="1032" width="18.109375" style="74" customWidth="1"/>
    <col min="1033" max="1033" width="15.88671875" style="74" customWidth="1"/>
    <col min="1034" max="1034" width="11.44140625" style="74" bestFit="1" customWidth="1"/>
    <col min="1035" max="1035" width="10.6640625" style="74" bestFit="1" customWidth="1"/>
    <col min="1036" max="1036" width="14" style="74" bestFit="1" customWidth="1"/>
    <col min="1037" max="1037" width="10" style="74" bestFit="1" customWidth="1"/>
    <col min="1038" max="1038" width="10.33203125" style="74" bestFit="1" customWidth="1"/>
    <col min="1039" max="1039" width="10" style="74" customWidth="1"/>
    <col min="1040" max="1040" width="12.6640625" style="74" customWidth="1"/>
    <col min="1041" max="1041" width="14.6640625" style="74" customWidth="1"/>
    <col min="1042" max="1042" width="10.109375" style="74" bestFit="1" customWidth="1"/>
    <col min="1043" max="1279" width="9" style="74"/>
    <col min="1280" max="1280" width="4.109375" style="74" customWidth="1"/>
    <col min="1281" max="1281" width="4.33203125" style="74" customWidth="1"/>
    <col min="1282" max="1282" width="13.5546875" style="74" customWidth="1"/>
    <col min="1283" max="1283" width="65" style="74" customWidth="1"/>
    <col min="1284" max="1284" width="6.6640625" style="74" customWidth="1"/>
    <col min="1285" max="1285" width="8.44140625" style="74" customWidth="1"/>
    <col min="1286" max="1286" width="10" style="74" customWidth="1"/>
    <col min="1287" max="1287" width="15.6640625" style="74" customWidth="1"/>
    <col min="1288" max="1288" width="18.109375" style="74" customWidth="1"/>
    <col min="1289" max="1289" width="15.88671875" style="74" customWidth="1"/>
    <col min="1290" max="1290" width="11.44140625" style="74" bestFit="1" customWidth="1"/>
    <col min="1291" max="1291" width="10.6640625" style="74" bestFit="1" customWidth="1"/>
    <col min="1292" max="1292" width="14" style="74" bestFit="1" customWidth="1"/>
    <col min="1293" max="1293" width="10" style="74" bestFit="1" customWidth="1"/>
    <col min="1294" max="1294" width="10.33203125" style="74" bestFit="1" customWidth="1"/>
    <col min="1295" max="1295" width="10" style="74" customWidth="1"/>
    <col min="1296" max="1296" width="12.6640625" style="74" customWidth="1"/>
    <col min="1297" max="1297" width="14.6640625" style="74" customWidth="1"/>
    <col min="1298" max="1298" width="10.109375" style="74" bestFit="1" customWidth="1"/>
    <col min="1299" max="1535" width="9" style="74"/>
    <col min="1536" max="1536" width="4.109375" style="74" customWidth="1"/>
    <col min="1537" max="1537" width="4.33203125" style="74" customWidth="1"/>
    <col min="1538" max="1538" width="13.5546875" style="74" customWidth="1"/>
    <col min="1539" max="1539" width="65" style="74" customWidth="1"/>
    <col min="1540" max="1540" width="6.6640625" style="74" customWidth="1"/>
    <col min="1541" max="1541" width="8.44140625" style="74" customWidth="1"/>
    <col min="1542" max="1542" width="10" style="74" customWidth="1"/>
    <col min="1543" max="1543" width="15.6640625" style="74" customWidth="1"/>
    <col min="1544" max="1544" width="18.109375" style="74" customWidth="1"/>
    <col min="1545" max="1545" width="15.88671875" style="74" customWidth="1"/>
    <col min="1546" max="1546" width="11.44140625" style="74" bestFit="1" customWidth="1"/>
    <col min="1547" max="1547" width="10.6640625" style="74" bestFit="1" customWidth="1"/>
    <col min="1548" max="1548" width="14" style="74" bestFit="1" customWidth="1"/>
    <col min="1549" max="1549" width="10" style="74" bestFit="1" customWidth="1"/>
    <col min="1550" max="1550" width="10.33203125" style="74" bestFit="1" customWidth="1"/>
    <col min="1551" max="1551" width="10" style="74" customWidth="1"/>
    <col min="1552" max="1552" width="12.6640625" style="74" customWidth="1"/>
    <col min="1553" max="1553" width="14.6640625" style="74" customWidth="1"/>
    <col min="1554" max="1554" width="10.109375" style="74" bestFit="1" customWidth="1"/>
    <col min="1555" max="1791" width="9" style="74"/>
    <col min="1792" max="1792" width="4.109375" style="74" customWidth="1"/>
    <col min="1793" max="1793" width="4.33203125" style="74" customWidth="1"/>
    <col min="1794" max="1794" width="13.5546875" style="74" customWidth="1"/>
    <col min="1795" max="1795" width="65" style="74" customWidth="1"/>
    <col min="1796" max="1796" width="6.6640625" style="74" customWidth="1"/>
    <col min="1797" max="1797" width="8.44140625" style="74" customWidth="1"/>
    <col min="1798" max="1798" width="10" style="74" customWidth="1"/>
    <col min="1799" max="1799" width="15.6640625" style="74" customWidth="1"/>
    <col min="1800" max="1800" width="18.109375" style="74" customWidth="1"/>
    <col min="1801" max="1801" width="15.88671875" style="74" customWidth="1"/>
    <col min="1802" max="1802" width="11.44140625" style="74" bestFit="1" customWidth="1"/>
    <col min="1803" max="1803" width="10.6640625" style="74" bestFit="1" customWidth="1"/>
    <col min="1804" max="1804" width="14" style="74" bestFit="1" customWidth="1"/>
    <col min="1805" max="1805" width="10" style="74" bestFit="1" customWidth="1"/>
    <col min="1806" max="1806" width="10.33203125" style="74" bestFit="1" customWidth="1"/>
    <col min="1807" max="1807" width="10" style="74" customWidth="1"/>
    <col min="1808" max="1808" width="12.6640625" style="74" customWidth="1"/>
    <col min="1809" max="1809" width="14.6640625" style="74" customWidth="1"/>
    <col min="1810" max="1810" width="10.109375" style="74" bestFit="1" customWidth="1"/>
    <col min="1811" max="2047" width="9" style="74"/>
    <col min="2048" max="2048" width="4.109375" style="74" customWidth="1"/>
    <col min="2049" max="2049" width="4.33203125" style="74" customWidth="1"/>
    <col min="2050" max="2050" width="13.5546875" style="74" customWidth="1"/>
    <col min="2051" max="2051" width="65" style="74" customWidth="1"/>
    <col min="2052" max="2052" width="6.6640625" style="74" customWidth="1"/>
    <col min="2053" max="2053" width="8.44140625" style="74" customWidth="1"/>
    <col min="2054" max="2054" width="10" style="74" customWidth="1"/>
    <col min="2055" max="2055" width="15.6640625" style="74" customWidth="1"/>
    <col min="2056" max="2056" width="18.109375" style="74" customWidth="1"/>
    <col min="2057" max="2057" width="15.88671875" style="74" customWidth="1"/>
    <col min="2058" max="2058" width="11.44140625" style="74" bestFit="1" customWidth="1"/>
    <col min="2059" max="2059" width="10.6640625" style="74" bestFit="1" customWidth="1"/>
    <col min="2060" max="2060" width="14" style="74" bestFit="1" customWidth="1"/>
    <col min="2061" max="2061" width="10" style="74" bestFit="1" customWidth="1"/>
    <col min="2062" max="2062" width="10.33203125" style="74" bestFit="1" customWidth="1"/>
    <col min="2063" max="2063" width="10" style="74" customWidth="1"/>
    <col min="2064" max="2064" width="12.6640625" style="74" customWidth="1"/>
    <col min="2065" max="2065" width="14.6640625" style="74" customWidth="1"/>
    <col min="2066" max="2066" width="10.109375" style="74" bestFit="1" customWidth="1"/>
    <col min="2067" max="2303" width="9" style="74"/>
    <col min="2304" max="2304" width="4.109375" style="74" customWidth="1"/>
    <col min="2305" max="2305" width="4.33203125" style="74" customWidth="1"/>
    <col min="2306" max="2306" width="13.5546875" style="74" customWidth="1"/>
    <col min="2307" max="2307" width="65" style="74" customWidth="1"/>
    <col min="2308" max="2308" width="6.6640625" style="74" customWidth="1"/>
    <col min="2309" max="2309" width="8.44140625" style="74" customWidth="1"/>
    <col min="2310" max="2310" width="10" style="74" customWidth="1"/>
    <col min="2311" max="2311" width="15.6640625" style="74" customWidth="1"/>
    <col min="2312" max="2312" width="18.109375" style="74" customWidth="1"/>
    <col min="2313" max="2313" width="15.88671875" style="74" customWidth="1"/>
    <col min="2314" max="2314" width="11.44140625" style="74" bestFit="1" customWidth="1"/>
    <col min="2315" max="2315" width="10.6640625" style="74" bestFit="1" customWidth="1"/>
    <col min="2316" max="2316" width="14" style="74" bestFit="1" customWidth="1"/>
    <col min="2317" max="2317" width="10" style="74" bestFit="1" customWidth="1"/>
    <col min="2318" max="2318" width="10.33203125" style="74" bestFit="1" customWidth="1"/>
    <col min="2319" max="2319" width="10" style="74" customWidth="1"/>
    <col min="2320" max="2320" width="12.6640625" style="74" customWidth="1"/>
    <col min="2321" max="2321" width="14.6640625" style="74" customWidth="1"/>
    <col min="2322" max="2322" width="10.109375" style="74" bestFit="1" customWidth="1"/>
    <col min="2323" max="2559" width="9" style="74"/>
    <col min="2560" max="2560" width="4.109375" style="74" customWidth="1"/>
    <col min="2561" max="2561" width="4.33203125" style="74" customWidth="1"/>
    <col min="2562" max="2562" width="13.5546875" style="74" customWidth="1"/>
    <col min="2563" max="2563" width="65" style="74" customWidth="1"/>
    <col min="2564" max="2564" width="6.6640625" style="74" customWidth="1"/>
    <col min="2565" max="2565" width="8.44140625" style="74" customWidth="1"/>
    <col min="2566" max="2566" width="10" style="74" customWidth="1"/>
    <col min="2567" max="2567" width="15.6640625" style="74" customWidth="1"/>
    <col min="2568" max="2568" width="18.109375" style="74" customWidth="1"/>
    <col min="2569" max="2569" width="15.88671875" style="74" customWidth="1"/>
    <col min="2570" max="2570" width="11.44140625" style="74" bestFit="1" customWidth="1"/>
    <col min="2571" max="2571" width="10.6640625" style="74" bestFit="1" customWidth="1"/>
    <col min="2572" max="2572" width="14" style="74" bestFit="1" customWidth="1"/>
    <col min="2573" max="2573" width="10" style="74" bestFit="1" customWidth="1"/>
    <col min="2574" max="2574" width="10.33203125" style="74" bestFit="1" customWidth="1"/>
    <col min="2575" max="2575" width="10" style="74" customWidth="1"/>
    <col min="2576" max="2576" width="12.6640625" style="74" customWidth="1"/>
    <col min="2577" max="2577" width="14.6640625" style="74" customWidth="1"/>
    <col min="2578" max="2578" width="10.109375" style="74" bestFit="1" customWidth="1"/>
    <col min="2579" max="2815" width="9" style="74"/>
    <col min="2816" max="2816" width="4.109375" style="74" customWidth="1"/>
    <col min="2817" max="2817" width="4.33203125" style="74" customWidth="1"/>
    <col min="2818" max="2818" width="13.5546875" style="74" customWidth="1"/>
    <col min="2819" max="2819" width="65" style="74" customWidth="1"/>
    <col min="2820" max="2820" width="6.6640625" style="74" customWidth="1"/>
    <col min="2821" max="2821" width="8.44140625" style="74" customWidth="1"/>
    <col min="2822" max="2822" width="10" style="74" customWidth="1"/>
    <col min="2823" max="2823" width="15.6640625" style="74" customWidth="1"/>
    <col min="2824" max="2824" width="18.109375" style="74" customWidth="1"/>
    <col min="2825" max="2825" width="15.88671875" style="74" customWidth="1"/>
    <col min="2826" max="2826" width="11.44140625" style="74" bestFit="1" customWidth="1"/>
    <col min="2827" max="2827" width="10.6640625" style="74" bestFit="1" customWidth="1"/>
    <col min="2828" max="2828" width="14" style="74" bestFit="1" customWidth="1"/>
    <col min="2829" max="2829" width="10" style="74" bestFit="1" customWidth="1"/>
    <col min="2830" max="2830" width="10.33203125" style="74" bestFit="1" customWidth="1"/>
    <col min="2831" max="2831" width="10" style="74" customWidth="1"/>
    <col min="2832" max="2832" width="12.6640625" style="74" customWidth="1"/>
    <col min="2833" max="2833" width="14.6640625" style="74" customWidth="1"/>
    <col min="2834" max="2834" width="10.109375" style="74" bestFit="1" customWidth="1"/>
    <col min="2835" max="3071" width="9" style="74"/>
    <col min="3072" max="3072" width="4.109375" style="74" customWidth="1"/>
    <col min="3073" max="3073" width="4.33203125" style="74" customWidth="1"/>
    <col min="3074" max="3074" width="13.5546875" style="74" customWidth="1"/>
    <col min="3075" max="3075" width="65" style="74" customWidth="1"/>
    <col min="3076" max="3076" width="6.6640625" style="74" customWidth="1"/>
    <col min="3077" max="3077" width="8.44140625" style="74" customWidth="1"/>
    <col min="3078" max="3078" width="10" style="74" customWidth="1"/>
    <col min="3079" max="3079" width="15.6640625" style="74" customWidth="1"/>
    <col min="3080" max="3080" width="18.109375" style="74" customWidth="1"/>
    <col min="3081" max="3081" width="15.88671875" style="74" customWidth="1"/>
    <col min="3082" max="3082" width="11.44140625" style="74" bestFit="1" customWidth="1"/>
    <col min="3083" max="3083" width="10.6640625" style="74" bestFit="1" customWidth="1"/>
    <col min="3084" max="3084" width="14" style="74" bestFit="1" customWidth="1"/>
    <col min="3085" max="3085" width="10" style="74" bestFit="1" customWidth="1"/>
    <col min="3086" max="3086" width="10.33203125" style="74" bestFit="1" customWidth="1"/>
    <col min="3087" max="3087" width="10" style="74" customWidth="1"/>
    <col min="3088" max="3088" width="12.6640625" style="74" customWidth="1"/>
    <col min="3089" max="3089" width="14.6640625" style="74" customWidth="1"/>
    <col min="3090" max="3090" width="10.109375" style="74" bestFit="1" customWidth="1"/>
    <col min="3091" max="3327" width="9" style="74"/>
    <col min="3328" max="3328" width="4.109375" style="74" customWidth="1"/>
    <col min="3329" max="3329" width="4.33203125" style="74" customWidth="1"/>
    <col min="3330" max="3330" width="13.5546875" style="74" customWidth="1"/>
    <col min="3331" max="3331" width="65" style="74" customWidth="1"/>
    <col min="3332" max="3332" width="6.6640625" style="74" customWidth="1"/>
    <col min="3333" max="3333" width="8.44140625" style="74" customWidth="1"/>
    <col min="3334" max="3334" width="10" style="74" customWidth="1"/>
    <col min="3335" max="3335" width="15.6640625" style="74" customWidth="1"/>
    <col min="3336" max="3336" width="18.109375" style="74" customWidth="1"/>
    <col min="3337" max="3337" width="15.88671875" style="74" customWidth="1"/>
    <col min="3338" max="3338" width="11.44140625" style="74" bestFit="1" customWidth="1"/>
    <col min="3339" max="3339" width="10.6640625" style="74" bestFit="1" customWidth="1"/>
    <col min="3340" max="3340" width="14" style="74" bestFit="1" customWidth="1"/>
    <col min="3341" max="3341" width="10" style="74" bestFit="1" customWidth="1"/>
    <col min="3342" max="3342" width="10.33203125" style="74" bestFit="1" customWidth="1"/>
    <col min="3343" max="3343" width="10" style="74" customWidth="1"/>
    <col min="3344" max="3344" width="12.6640625" style="74" customWidth="1"/>
    <col min="3345" max="3345" width="14.6640625" style="74" customWidth="1"/>
    <col min="3346" max="3346" width="10.109375" style="74" bestFit="1" customWidth="1"/>
    <col min="3347" max="3583" width="9" style="74"/>
    <col min="3584" max="3584" width="4.109375" style="74" customWidth="1"/>
    <col min="3585" max="3585" width="4.33203125" style="74" customWidth="1"/>
    <col min="3586" max="3586" width="13.5546875" style="74" customWidth="1"/>
    <col min="3587" max="3587" width="65" style="74" customWidth="1"/>
    <col min="3588" max="3588" width="6.6640625" style="74" customWidth="1"/>
    <col min="3589" max="3589" width="8.44140625" style="74" customWidth="1"/>
    <col min="3590" max="3590" width="10" style="74" customWidth="1"/>
    <col min="3591" max="3591" width="15.6640625" style="74" customWidth="1"/>
    <col min="3592" max="3592" width="18.109375" style="74" customWidth="1"/>
    <col min="3593" max="3593" width="15.88671875" style="74" customWidth="1"/>
    <col min="3594" max="3594" width="11.44140625" style="74" bestFit="1" customWidth="1"/>
    <col min="3595" max="3595" width="10.6640625" style="74" bestFit="1" customWidth="1"/>
    <col min="3596" max="3596" width="14" style="74" bestFit="1" customWidth="1"/>
    <col min="3597" max="3597" width="10" style="74" bestFit="1" customWidth="1"/>
    <col min="3598" max="3598" width="10.33203125" style="74" bestFit="1" customWidth="1"/>
    <col min="3599" max="3599" width="10" style="74" customWidth="1"/>
    <col min="3600" max="3600" width="12.6640625" style="74" customWidth="1"/>
    <col min="3601" max="3601" width="14.6640625" style="74" customWidth="1"/>
    <col min="3602" max="3602" width="10.109375" style="74" bestFit="1" customWidth="1"/>
    <col min="3603" max="3839" width="9" style="74"/>
    <col min="3840" max="3840" width="4.109375" style="74" customWidth="1"/>
    <col min="3841" max="3841" width="4.33203125" style="74" customWidth="1"/>
    <col min="3842" max="3842" width="13.5546875" style="74" customWidth="1"/>
    <col min="3843" max="3843" width="65" style="74" customWidth="1"/>
    <col min="3844" max="3844" width="6.6640625" style="74" customWidth="1"/>
    <col min="3845" max="3845" width="8.44140625" style="74" customWidth="1"/>
    <col min="3846" max="3846" width="10" style="74" customWidth="1"/>
    <col min="3847" max="3847" width="15.6640625" style="74" customWidth="1"/>
    <col min="3848" max="3848" width="18.109375" style="74" customWidth="1"/>
    <col min="3849" max="3849" width="15.88671875" style="74" customWidth="1"/>
    <col min="3850" max="3850" width="11.44140625" style="74" bestFit="1" customWidth="1"/>
    <col min="3851" max="3851" width="10.6640625" style="74" bestFit="1" customWidth="1"/>
    <col min="3852" max="3852" width="14" style="74" bestFit="1" customWidth="1"/>
    <col min="3853" max="3853" width="10" style="74" bestFit="1" customWidth="1"/>
    <col min="3854" max="3854" width="10.33203125" style="74" bestFit="1" customWidth="1"/>
    <col min="3855" max="3855" width="10" style="74" customWidth="1"/>
    <col min="3856" max="3856" width="12.6640625" style="74" customWidth="1"/>
    <col min="3857" max="3857" width="14.6640625" style="74" customWidth="1"/>
    <col min="3858" max="3858" width="10.109375" style="74" bestFit="1" customWidth="1"/>
    <col min="3859" max="4095" width="9" style="74"/>
    <col min="4096" max="4096" width="4.109375" style="74" customWidth="1"/>
    <col min="4097" max="4097" width="4.33203125" style="74" customWidth="1"/>
    <col min="4098" max="4098" width="13.5546875" style="74" customWidth="1"/>
    <col min="4099" max="4099" width="65" style="74" customWidth="1"/>
    <col min="4100" max="4100" width="6.6640625" style="74" customWidth="1"/>
    <col min="4101" max="4101" width="8.44140625" style="74" customWidth="1"/>
    <col min="4102" max="4102" width="10" style="74" customWidth="1"/>
    <col min="4103" max="4103" width="15.6640625" style="74" customWidth="1"/>
    <col min="4104" max="4104" width="18.109375" style="74" customWidth="1"/>
    <col min="4105" max="4105" width="15.88671875" style="74" customWidth="1"/>
    <col min="4106" max="4106" width="11.44140625" style="74" bestFit="1" customWidth="1"/>
    <col min="4107" max="4107" width="10.6640625" style="74" bestFit="1" customWidth="1"/>
    <col min="4108" max="4108" width="14" style="74" bestFit="1" customWidth="1"/>
    <col min="4109" max="4109" width="10" style="74" bestFit="1" customWidth="1"/>
    <col min="4110" max="4110" width="10.33203125" style="74" bestFit="1" customWidth="1"/>
    <col min="4111" max="4111" width="10" style="74" customWidth="1"/>
    <col min="4112" max="4112" width="12.6640625" style="74" customWidth="1"/>
    <col min="4113" max="4113" width="14.6640625" style="74" customWidth="1"/>
    <col min="4114" max="4114" width="10.109375" style="74" bestFit="1" customWidth="1"/>
    <col min="4115" max="4351" width="9" style="74"/>
    <col min="4352" max="4352" width="4.109375" style="74" customWidth="1"/>
    <col min="4353" max="4353" width="4.33203125" style="74" customWidth="1"/>
    <col min="4354" max="4354" width="13.5546875" style="74" customWidth="1"/>
    <col min="4355" max="4355" width="65" style="74" customWidth="1"/>
    <col min="4356" max="4356" width="6.6640625" style="74" customWidth="1"/>
    <col min="4357" max="4357" width="8.44140625" style="74" customWidth="1"/>
    <col min="4358" max="4358" width="10" style="74" customWidth="1"/>
    <col min="4359" max="4359" width="15.6640625" style="74" customWidth="1"/>
    <col min="4360" max="4360" width="18.109375" style="74" customWidth="1"/>
    <col min="4361" max="4361" width="15.88671875" style="74" customWidth="1"/>
    <col min="4362" max="4362" width="11.44140625" style="74" bestFit="1" customWidth="1"/>
    <col min="4363" max="4363" width="10.6640625" style="74" bestFit="1" customWidth="1"/>
    <col min="4364" max="4364" width="14" style="74" bestFit="1" customWidth="1"/>
    <col min="4365" max="4365" width="10" style="74" bestFit="1" customWidth="1"/>
    <col min="4366" max="4366" width="10.33203125" style="74" bestFit="1" customWidth="1"/>
    <col min="4367" max="4367" width="10" style="74" customWidth="1"/>
    <col min="4368" max="4368" width="12.6640625" style="74" customWidth="1"/>
    <col min="4369" max="4369" width="14.6640625" style="74" customWidth="1"/>
    <col min="4370" max="4370" width="10.109375" style="74" bestFit="1" customWidth="1"/>
    <col min="4371" max="4607" width="9" style="74"/>
    <col min="4608" max="4608" width="4.109375" style="74" customWidth="1"/>
    <col min="4609" max="4609" width="4.33203125" style="74" customWidth="1"/>
    <col min="4610" max="4610" width="13.5546875" style="74" customWidth="1"/>
    <col min="4611" max="4611" width="65" style="74" customWidth="1"/>
    <col min="4612" max="4612" width="6.6640625" style="74" customWidth="1"/>
    <col min="4613" max="4613" width="8.44140625" style="74" customWidth="1"/>
    <col min="4614" max="4614" width="10" style="74" customWidth="1"/>
    <col min="4615" max="4615" width="15.6640625" style="74" customWidth="1"/>
    <col min="4616" max="4616" width="18.109375" style="74" customWidth="1"/>
    <col min="4617" max="4617" width="15.88671875" style="74" customWidth="1"/>
    <col min="4618" max="4618" width="11.44140625" style="74" bestFit="1" customWidth="1"/>
    <col min="4619" max="4619" width="10.6640625" style="74" bestFit="1" customWidth="1"/>
    <col min="4620" max="4620" width="14" style="74" bestFit="1" customWidth="1"/>
    <col min="4621" max="4621" width="10" style="74" bestFit="1" customWidth="1"/>
    <col min="4622" max="4622" width="10.33203125" style="74" bestFit="1" customWidth="1"/>
    <col min="4623" max="4623" width="10" style="74" customWidth="1"/>
    <col min="4624" max="4624" width="12.6640625" style="74" customWidth="1"/>
    <col min="4625" max="4625" width="14.6640625" style="74" customWidth="1"/>
    <col min="4626" max="4626" width="10.109375" style="74" bestFit="1" customWidth="1"/>
    <col min="4627" max="4863" width="9" style="74"/>
    <col min="4864" max="4864" width="4.109375" style="74" customWidth="1"/>
    <col min="4865" max="4865" width="4.33203125" style="74" customWidth="1"/>
    <col min="4866" max="4866" width="13.5546875" style="74" customWidth="1"/>
    <col min="4867" max="4867" width="65" style="74" customWidth="1"/>
    <col min="4868" max="4868" width="6.6640625" style="74" customWidth="1"/>
    <col min="4869" max="4869" width="8.44140625" style="74" customWidth="1"/>
    <col min="4870" max="4870" width="10" style="74" customWidth="1"/>
    <col min="4871" max="4871" width="15.6640625" style="74" customWidth="1"/>
    <col min="4872" max="4872" width="18.109375" style="74" customWidth="1"/>
    <col min="4873" max="4873" width="15.88671875" style="74" customWidth="1"/>
    <col min="4874" max="4874" width="11.44140625" style="74" bestFit="1" customWidth="1"/>
    <col min="4875" max="4875" width="10.6640625" style="74" bestFit="1" customWidth="1"/>
    <col min="4876" max="4876" width="14" style="74" bestFit="1" customWidth="1"/>
    <col min="4877" max="4877" width="10" style="74" bestFit="1" customWidth="1"/>
    <col min="4878" max="4878" width="10.33203125" style="74" bestFit="1" customWidth="1"/>
    <col min="4879" max="4879" width="10" style="74" customWidth="1"/>
    <col min="4880" max="4880" width="12.6640625" style="74" customWidth="1"/>
    <col min="4881" max="4881" width="14.6640625" style="74" customWidth="1"/>
    <col min="4882" max="4882" width="10.109375" style="74" bestFit="1" customWidth="1"/>
    <col min="4883" max="5119" width="9" style="74"/>
    <col min="5120" max="5120" width="4.109375" style="74" customWidth="1"/>
    <col min="5121" max="5121" width="4.33203125" style="74" customWidth="1"/>
    <col min="5122" max="5122" width="13.5546875" style="74" customWidth="1"/>
    <col min="5123" max="5123" width="65" style="74" customWidth="1"/>
    <col min="5124" max="5124" width="6.6640625" style="74" customWidth="1"/>
    <col min="5125" max="5125" width="8.44140625" style="74" customWidth="1"/>
    <col min="5126" max="5126" width="10" style="74" customWidth="1"/>
    <col min="5127" max="5127" width="15.6640625" style="74" customWidth="1"/>
    <col min="5128" max="5128" width="18.109375" style="74" customWidth="1"/>
    <col min="5129" max="5129" width="15.88671875" style="74" customWidth="1"/>
    <col min="5130" max="5130" width="11.44140625" style="74" bestFit="1" customWidth="1"/>
    <col min="5131" max="5131" width="10.6640625" style="74" bestFit="1" customWidth="1"/>
    <col min="5132" max="5132" width="14" style="74" bestFit="1" customWidth="1"/>
    <col min="5133" max="5133" width="10" style="74" bestFit="1" customWidth="1"/>
    <col min="5134" max="5134" width="10.33203125" style="74" bestFit="1" customWidth="1"/>
    <col min="5135" max="5135" width="10" style="74" customWidth="1"/>
    <col min="5136" max="5136" width="12.6640625" style="74" customWidth="1"/>
    <col min="5137" max="5137" width="14.6640625" style="74" customWidth="1"/>
    <col min="5138" max="5138" width="10.109375" style="74" bestFit="1" customWidth="1"/>
    <col min="5139" max="5375" width="9" style="74"/>
    <col min="5376" max="5376" width="4.109375" style="74" customWidth="1"/>
    <col min="5377" max="5377" width="4.33203125" style="74" customWidth="1"/>
    <col min="5378" max="5378" width="13.5546875" style="74" customWidth="1"/>
    <col min="5379" max="5379" width="65" style="74" customWidth="1"/>
    <col min="5380" max="5380" width="6.6640625" style="74" customWidth="1"/>
    <col min="5381" max="5381" width="8.44140625" style="74" customWidth="1"/>
    <col min="5382" max="5382" width="10" style="74" customWidth="1"/>
    <col min="5383" max="5383" width="15.6640625" style="74" customWidth="1"/>
    <col min="5384" max="5384" width="18.109375" style="74" customWidth="1"/>
    <col min="5385" max="5385" width="15.88671875" style="74" customWidth="1"/>
    <col min="5386" max="5386" width="11.44140625" style="74" bestFit="1" customWidth="1"/>
    <col min="5387" max="5387" width="10.6640625" style="74" bestFit="1" customWidth="1"/>
    <col min="5388" max="5388" width="14" style="74" bestFit="1" customWidth="1"/>
    <col min="5389" max="5389" width="10" style="74" bestFit="1" customWidth="1"/>
    <col min="5390" max="5390" width="10.33203125" style="74" bestFit="1" customWidth="1"/>
    <col min="5391" max="5391" width="10" style="74" customWidth="1"/>
    <col min="5392" max="5392" width="12.6640625" style="74" customWidth="1"/>
    <col min="5393" max="5393" width="14.6640625" style="74" customWidth="1"/>
    <col min="5394" max="5394" width="10.109375" style="74" bestFit="1" customWidth="1"/>
    <col min="5395" max="5631" width="9" style="74"/>
    <col min="5632" max="5632" width="4.109375" style="74" customWidth="1"/>
    <col min="5633" max="5633" width="4.33203125" style="74" customWidth="1"/>
    <col min="5634" max="5634" width="13.5546875" style="74" customWidth="1"/>
    <col min="5635" max="5635" width="65" style="74" customWidth="1"/>
    <col min="5636" max="5636" width="6.6640625" style="74" customWidth="1"/>
    <col min="5637" max="5637" width="8.44140625" style="74" customWidth="1"/>
    <col min="5638" max="5638" width="10" style="74" customWidth="1"/>
    <col min="5639" max="5639" width="15.6640625" style="74" customWidth="1"/>
    <col min="5640" max="5640" width="18.109375" style="74" customWidth="1"/>
    <col min="5641" max="5641" width="15.88671875" style="74" customWidth="1"/>
    <col min="5642" max="5642" width="11.44140625" style="74" bestFit="1" customWidth="1"/>
    <col min="5643" max="5643" width="10.6640625" style="74" bestFit="1" customWidth="1"/>
    <col min="5644" max="5644" width="14" style="74" bestFit="1" customWidth="1"/>
    <col min="5645" max="5645" width="10" style="74" bestFit="1" customWidth="1"/>
    <col min="5646" max="5646" width="10.33203125" style="74" bestFit="1" customWidth="1"/>
    <col min="5647" max="5647" width="10" style="74" customWidth="1"/>
    <col min="5648" max="5648" width="12.6640625" style="74" customWidth="1"/>
    <col min="5649" max="5649" width="14.6640625" style="74" customWidth="1"/>
    <col min="5650" max="5650" width="10.109375" style="74" bestFit="1" customWidth="1"/>
    <col min="5651" max="5887" width="9" style="74"/>
    <col min="5888" max="5888" width="4.109375" style="74" customWidth="1"/>
    <col min="5889" max="5889" width="4.33203125" style="74" customWidth="1"/>
    <col min="5890" max="5890" width="13.5546875" style="74" customWidth="1"/>
    <col min="5891" max="5891" width="65" style="74" customWidth="1"/>
    <col min="5892" max="5892" width="6.6640625" style="74" customWidth="1"/>
    <col min="5893" max="5893" width="8.44140625" style="74" customWidth="1"/>
    <col min="5894" max="5894" width="10" style="74" customWidth="1"/>
    <col min="5895" max="5895" width="15.6640625" style="74" customWidth="1"/>
    <col min="5896" max="5896" width="18.109375" style="74" customWidth="1"/>
    <col min="5897" max="5897" width="15.88671875" style="74" customWidth="1"/>
    <col min="5898" max="5898" width="11.44140625" style="74" bestFit="1" customWidth="1"/>
    <col min="5899" max="5899" width="10.6640625" style="74" bestFit="1" customWidth="1"/>
    <col min="5900" max="5900" width="14" style="74" bestFit="1" customWidth="1"/>
    <col min="5901" max="5901" width="10" style="74" bestFit="1" customWidth="1"/>
    <col min="5902" max="5902" width="10.33203125" style="74" bestFit="1" customWidth="1"/>
    <col min="5903" max="5903" width="10" style="74" customWidth="1"/>
    <col min="5904" max="5904" width="12.6640625" style="74" customWidth="1"/>
    <col min="5905" max="5905" width="14.6640625" style="74" customWidth="1"/>
    <col min="5906" max="5906" width="10.109375" style="74" bestFit="1" customWidth="1"/>
    <col min="5907" max="6143" width="9" style="74"/>
    <col min="6144" max="6144" width="4.109375" style="74" customWidth="1"/>
    <col min="6145" max="6145" width="4.33203125" style="74" customWidth="1"/>
    <col min="6146" max="6146" width="13.5546875" style="74" customWidth="1"/>
    <col min="6147" max="6147" width="65" style="74" customWidth="1"/>
    <col min="6148" max="6148" width="6.6640625" style="74" customWidth="1"/>
    <col min="6149" max="6149" width="8.44140625" style="74" customWidth="1"/>
    <col min="6150" max="6150" width="10" style="74" customWidth="1"/>
    <col min="6151" max="6151" width="15.6640625" style="74" customWidth="1"/>
    <col min="6152" max="6152" width="18.109375" style="74" customWidth="1"/>
    <col min="6153" max="6153" width="15.88671875" style="74" customWidth="1"/>
    <col min="6154" max="6154" width="11.44140625" style="74" bestFit="1" customWidth="1"/>
    <col min="6155" max="6155" width="10.6640625" style="74" bestFit="1" customWidth="1"/>
    <col min="6156" max="6156" width="14" style="74" bestFit="1" customWidth="1"/>
    <col min="6157" max="6157" width="10" style="74" bestFit="1" customWidth="1"/>
    <col min="6158" max="6158" width="10.33203125" style="74" bestFit="1" customWidth="1"/>
    <col min="6159" max="6159" width="10" style="74" customWidth="1"/>
    <col min="6160" max="6160" width="12.6640625" style="74" customWidth="1"/>
    <col min="6161" max="6161" width="14.6640625" style="74" customWidth="1"/>
    <col min="6162" max="6162" width="10.109375" style="74" bestFit="1" customWidth="1"/>
    <col min="6163" max="6399" width="9" style="74"/>
    <col min="6400" max="6400" width="4.109375" style="74" customWidth="1"/>
    <col min="6401" max="6401" width="4.33203125" style="74" customWidth="1"/>
    <col min="6402" max="6402" width="13.5546875" style="74" customWidth="1"/>
    <col min="6403" max="6403" width="65" style="74" customWidth="1"/>
    <col min="6404" max="6404" width="6.6640625" style="74" customWidth="1"/>
    <col min="6405" max="6405" width="8.44140625" style="74" customWidth="1"/>
    <col min="6406" max="6406" width="10" style="74" customWidth="1"/>
    <col min="6407" max="6407" width="15.6640625" style="74" customWidth="1"/>
    <col min="6408" max="6408" width="18.109375" style="74" customWidth="1"/>
    <col min="6409" max="6409" width="15.88671875" style="74" customWidth="1"/>
    <col min="6410" max="6410" width="11.44140625" style="74" bestFit="1" customWidth="1"/>
    <col min="6411" max="6411" width="10.6640625" style="74" bestFit="1" customWidth="1"/>
    <col min="6412" max="6412" width="14" style="74" bestFit="1" customWidth="1"/>
    <col min="6413" max="6413" width="10" style="74" bestFit="1" customWidth="1"/>
    <col min="6414" max="6414" width="10.33203125" style="74" bestFit="1" customWidth="1"/>
    <col min="6415" max="6415" width="10" style="74" customWidth="1"/>
    <col min="6416" max="6416" width="12.6640625" style="74" customWidth="1"/>
    <col min="6417" max="6417" width="14.6640625" style="74" customWidth="1"/>
    <col min="6418" max="6418" width="10.109375" style="74" bestFit="1" customWidth="1"/>
    <col min="6419" max="6655" width="9" style="74"/>
    <col min="6656" max="6656" width="4.109375" style="74" customWidth="1"/>
    <col min="6657" max="6657" width="4.33203125" style="74" customWidth="1"/>
    <col min="6658" max="6658" width="13.5546875" style="74" customWidth="1"/>
    <col min="6659" max="6659" width="65" style="74" customWidth="1"/>
    <col min="6660" max="6660" width="6.6640625" style="74" customWidth="1"/>
    <col min="6661" max="6661" width="8.44140625" style="74" customWidth="1"/>
    <col min="6662" max="6662" width="10" style="74" customWidth="1"/>
    <col min="6663" max="6663" width="15.6640625" style="74" customWidth="1"/>
    <col min="6664" max="6664" width="18.109375" style="74" customWidth="1"/>
    <col min="6665" max="6665" width="15.88671875" style="74" customWidth="1"/>
    <col min="6666" max="6666" width="11.44140625" style="74" bestFit="1" customWidth="1"/>
    <col min="6667" max="6667" width="10.6640625" style="74" bestFit="1" customWidth="1"/>
    <col min="6668" max="6668" width="14" style="74" bestFit="1" customWidth="1"/>
    <col min="6669" max="6669" width="10" style="74" bestFit="1" customWidth="1"/>
    <col min="6670" max="6670" width="10.33203125" style="74" bestFit="1" customWidth="1"/>
    <col min="6671" max="6671" width="10" style="74" customWidth="1"/>
    <col min="6672" max="6672" width="12.6640625" style="74" customWidth="1"/>
    <col min="6673" max="6673" width="14.6640625" style="74" customWidth="1"/>
    <col min="6674" max="6674" width="10.109375" style="74" bestFit="1" customWidth="1"/>
    <col min="6675" max="6911" width="9" style="74"/>
    <col min="6912" max="6912" width="4.109375" style="74" customWidth="1"/>
    <col min="6913" max="6913" width="4.33203125" style="74" customWidth="1"/>
    <col min="6914" max="6914" width="13.5546875" style="74" customWidth="1"/>
    <col min="6915" max="6915" width="65" style="74" customWidth="1"/>
    <col min="6916" max="6916" width="6.6640625" style="74" customWidth="1"/>
    <col min="6917" max="6917" width="8.44140625" style="74" customWidth="1"/>
    <col min="6918" max="6918" width="10" style="74" customWidth="1"/>
    <col min="6919" max="6919" width="15.6640625" style="74" customWidth="1"/>
    <col min="6920" max="6920" width="18.109375" style="74" customWidth="1"/>
    <col min="6921" max="6921" width="15.88671875" style="74" customWidth="1"/>
    <col min="6922" max="6922" width="11.44140625" style="74" bestFit="1" customWidth="1"/>
    <col min="6923" max="6923" width="10.6640625" style="74" bestFit="1" customWidth="1"/>
    <col min="6924" max="6924" width="14" style="74" bestFit="1" customWidth="1"/>
    <col min="6925" max="6925" width="10" style="74" bestFit="1" customWidth="1"/>
    <col min="6926" max="6926" width="10.33203125" style="74" bestFit="1" customWidth="1"/>
    <col min="6927" max="6927" width="10" style="74" customWidth="1"/>
    <col min="6928" max="6928" width="12.6640625" style="74" customWidth="1"/>
    <col min="6929" max="6929" width="14.6640625" style="74" customWidth="1"/>
    <col min="6930" max="6930" width="10.109375" style="74" bestFit="1" customWidth="1"/>
    <col min="6931" max="7167" width="9" style="74"/>
    <col min="7168" max="7168" width="4.109375" style="74" customWidth="1"/>
    <col min="7169" max="7169" width="4.33203125" style="74" customWidth="1"/>
    <col min="7170" max="7170" width="13.5546875" style="74" customWidth="1"/>
    <col min="7171" max="7171" width="65" style="74" customWidth="1"/>
    <col min="7172" max="7172" width="6.6640625" style="74" customWidth="1"/>
    <col min="7173" max="7173" width="8.44140625" style="74" customWidth="1"/>
    <col min="7174" max="7174" width="10" style="74" customWidth="1"/>
    <col min="7175" max="7175" width="15.6640625" style="74" customWidth="1"/>
    <col min="7176" max="7176" width="18.109375" style="74" customWidth="1"/>
    <col min="7177" max="7177" width="15.88671875" style="74" customWidth="1"/>
    <col min="7178" max="7178" width="11.44140625" style="74" bestFit="1" customWidth="1"/>
    <col min="7179" max="7179" width="10.6640625" style="74" bestFit="1" customWidth="1"/>
    <col min="7180" max="7180" width="14" style="74" bestFit="1" customWidth="1"/>
    <col min="7181" max="7181" width="10" style="74" bestFit="1" customWidth="1"/>
    <col min="7182" max="7182" width="10.33203125" style="74" bestFit="1" customWidth="1"/>
    <col min="7183" max="7183" width="10" style="74" customWidth="1"/>
    <col min="7184" max="7184" width="12.6640625" style="74" customWidth="1"/>
    <col min="7185" max="7185" width="14.6640625" style="74" customWidth="1"/>
    <col min="7186" max="7186" width="10.109375" style="74" bestFit="1" customWidth="1"/>
    <col min="7187" max="7423" width="9" style="74"/>
    <col min="7424" max="7424" width="4.109375" style="74" customWidth="1"/>
    <col min="7425" max="7425" width="4.33203125" style="74" customWidth="1"/>
    <col min="7426" max="7426" width="13.5546875" style="74" customWidth="1"/>
    <col min="7427" max="7427" width="65" style="74" customWidth="1"/>
    <col min="7428" max="7428" width="6.6640625" style="74" customWidth="1"/>
    <col min="7429" max="7429" width="8.44140625" style="74" customWidth="1"/>
    <col min="7430" max="7430" width="10" style="74" customWidth="1"/>
    <col min="7431" max="7431" width="15.6640625" style="74" customWidth="1"/>
    <col min="7432" max="7432" width="18.109375" style="74" customWidth="1"/>
    <col min="7433" max="7433" width="15.88671875" style="74" customWidth="1"/>
    <col min="7434" max="7434" width="11.44140625" style="74" bestFit="1" customWidth="1"/>
    <col min="7435" max="7435" width="10.6640625" style="74" bestFit="1" customWidth="1"/>
    <col min="7436" max="7436" width="14" style="74" bestFit="1" customWidth="1"/>
    <col min="7437" max="7437" width="10" style="74" bestFit="1" customWidth="1"/>
    <col min="7438" max="7438" width="10.33203125" style="74" bestFit="1" customWidth="1"/>
    <col min="7439" max="7439" width="10" style="74" customWidth="1"/>
    <col min="7440" max="7440" width="12.6640625" style="74" customWidth="1"/>
    <col min="7441" max="7441" width="14.6640625" style="74" customWidth="1"/>
    <col min="7442" max="7442" width="10.109375" style="74" bestFit="1" customWidth="1"/>
    <col min="7443" max="7679" width="9" style="74"/>
    <col min="7680" max="7680" width="4.109375" style="74" customWidth="1"/>
    <col min="7681" max="7681" width="4.33203125" style="74" customWidth="1"/>
    <col min="7682" max="7682" width="13.5546875" style="74" customWidth="1"/>
    <col min="7683" max="7683" width="65" style="74" customWidth="1"/>
    <col min="7684" max="7684" width="6.6640625" style="74" customWidth="1"/>
    <col min="7685" max="7685" width="8.44140625" style="74" customWidth="1"/>
    <col min="7686" max="7686" width="10" style="74" customWidth="1"/>
    <col min="7687" max="7687" width="15.6640625" style="74" customWidth="1"/>
    <col min="7688" max="7688" width="18.109375" style="74" customWidth="1"/>
    <col min="7689" max="7689" width="15.88671875" style="74" customWidth="1"/>
    <col min="7690" max="7690" width="11.44140625" style="74" bestFit="1" customWidth="1"/>
    <col min="7691" max="7691" width="10.6640625" style="74" bestFit="1" customWidth="1"/>
    <col min="7692" max="7692" width="14" style="74" bestFit="1" customWidth="1"/>
    <col min="7693" max="7693" width="10" style="74" bestFit="1" customWidth="1"/>
    <col min="7694" max="7694" width="10.33203125" style="74" bestFit="1" customWidth="1"/>
    <col min="7695" max="7695" width="10" style="74" customWidth="1"/>
    <col min="7696" max="7696" width="12.6640625" style="74" customWidth="1"/>
    <col min="7697" max="7697" width="14.6640625" style="74" customWidth="1"/>
    <col min="7698" max="7698" width="10.109375" style="74" bestFit="1" customWidth="1"/>
    <col min="7699" max="7935" width="9" style="74"/>
    <col min="7936" max="7936" width="4.109375" style="74" customWidth="1"/>
    <col min="7937" max="7937" width="4.33203125" style="74" customWidth="1"/>
    <col min="7938" max="7938" width="13.5546875" style="74" customWidth="1"/>
    <col min="7939" max="7939" width="65" style="74" customWidth="1"/>
    <col min="7940" max="7940" width="6.6640625" style="74" customWidth="1"/>
    <col min="7941" max="7941" width="8.44140625" style="74" customWidth="1"/>
    <col min="7942" max="7942" width="10" style="74" customWidth="1"/>
    <col min="7943" max="7943" width="15.6640625" style="74" customWidth="1"/>
    <col min="7944" max="7944" width="18.109375" style="74" customWidth="1"/>
    <col min="7945" max="7945" width="15.88671875" style="74" customWidth="1"/>
    <col min="7946" max="7946" width="11.44140625" style="74" bestFit="1" customWidth="1"/>
    <col min="7947" max="7947" width="10.6640625" style="74" bestFit="1" customWidth="1"/>
    <col min="7948" max="7948" width="14" style="74" bestFit="1" customWidth="1"/>
    <col min="7949" max="7949" width="10" style="74" bestFit="1" customWidth="1"/>
    <col min="7950" max="7950" width="10.33203125" style="74" bestFit="1" customWidth="1"/>
    <col min="7951" max="7951" width="10" style="74" customWidth="1"/>
    <col min="7952" max="7952" width="12.6640625" style="74" customWidth="1"/>
    <col min="7953" max="7953" width="14.6640625" style="74" customWidth="1"/>
    <col min="7954" max="7954" width="10.109375" style="74" bestFit="1" customWidth="1"/>
    <col min="7955" max="8191" width="9" style="74"/>
    <col min="8192" max="8192" width="4.109375" style="74" customWidth="1"/>
    <col min="8193" max="8193" width="4.33203125" style="74" customWidth="1"/>
    <col min="8194" max="8194" width="13.5546875" style="74" customWidth="1"/>
    <col min="8195" max="8195" width="65" style="74" customWidth="1"/>
    <col min="8196" max="8196" width="6.6640625" style="74" customWidth="1"/>
    <col min="8197" max="8197" width="8.44140625" style="74" customWidth="1"/>
    <col min="8198" max="8198" width="10" style="74" customWidth="1"/>
    <col min="8199" max="8199" width="15.6640625" style="74" customWidth="1"/>
    <col min="8200" max="8200" width="18.109375" style="74" customWidth="1"/>
    <col min="8201" max="8201" width="15.88671875" style="74" customWidth="1"/>
    <col min="8202" max="8202" width="11.44140625" style="74" bestFit="1" customWidth="1"/>
    <col min="8203" max="8203" width="10.6640625" style="74" bestFit="1" customWidth="1"/>
    <col min="8204" max="8204" width="14" style="74" bestFit="1" customWidth="1"/>
    <col min="8205" max="8205" width="10" style="74" bestFit="1" customWidth="1"/>
    <col min="8206" max="8206" width="10.33203125" style="74" bestFit="1" customWidth="1"/>
    <col min="8207" max="8207" width="10" style="74" customWidth="1"/>
    <col min="8208" max="8208" width="12.6640625" style="74" customWidth="1"/>
    <col min="8209" max="8209" width="14.6640625" style="74" customWidth="1"/>
    <col min="8210" max="8210" width="10.109375" style="74" bestFit="1" customWidth="1"/>
    <col min="8211" max="8447" width="9" style="74"/>
    <col min="8448" max="8448" width="4.109375" style="74" customWidth="1"/>
    <col min="8449" max="8449" width="4.33203125" style="74" customWidth="1"/>
    <col min="8450" max="8450" width="13.5546875" style="74" customWidth="1"/>
    <col min="8451" max="8451" width="65" style="74" customWidth="1"/>
    <col min="8452" max="8452" width="6.6640625" style="74" customWidth="1"/>
    <col min="8453" max="8453" width="8.44140625" style="74" customWidth="1"/>
    <col min="8454" max="8454" width="10" style="74" customWidth="1"/>
    <col min="8455" max="8455" width="15.6640625" style="74" customWidth="1"/>
    <col min="8456" max="8456" width="18.109375" style="74" customWidth="1"/>
    <col min="8457" max="8457" width="15.88671875" style="74" customWidth="1"/>
    <col min="8458" max="8458" width="11.44140625" style="74" bestFit="1" customWidth="1"/>
    <col min="8459" max="8459" width="10.6640625" style="74" bestFit="1" customWidth="1"/>
    <col min="8460" max="8460" width="14" style="74" bestFit="1" customWidth="1"/>
    <col min="8461" max="8461" width="10" style="74" bestFit="1" customWidth="1"/>
    <col min="8462" max="8462" width="10.33203125" style="74" bestFit="1" customWidth="1"/>
    <col min="8463" max="8463" width="10" style="74" customWidth="1"/>
    <col min="8464" max="8464" width="12.6640625" style="74" customWidth="1"/>
    <col min="8465" max="8465" width="14.6640625" style="74" customWidth="1"/>
    <col min="8466" max="8466" width="10.109375" style="74" bestFit="1" customWidth="1"/>
    <col min="8467" max="8703" width="9" style="74"/>
    <col min="8704" max="8704" width="4.109375" style="74" customWidth="1"/>
    <col min="8705" max="8705" width="4.33203125" style="74" customWidth="1"/>
    <col min="8706" max="8706" width="13.5546875" style="74" customWidth="1"/>
    <col min="8707" max="8707" width="65" style="74" customWidth="1"/>
    <col min="8708" max="8708" width="6.6640625" style="74" customWidth="1"/>
    <col min="8709" max="8709" width="8.44140625" style="74" customWidth="1"/>
    <col min="8710" max="8710" width="10" style="74" customWidth="1"/>
    <col min="8711" max="8711" width="15.6640625" style="74" customWidth="1"/>
    <col min="8712" max="8712" width="18.109375" style="74" customWidth="1"/>
    <col min="8713" max="8713" width="15.88671875" style="74" customWidth="1"/>
    <col min="8714" max="8714" width="11.44140625" style="74" bestFit="1" customWidth="1"/>
    <col min="8715" max="8715" width="10.6640625" style="74" bestFit="1" customWidth="1"/>
    <col min="8716" max="8716" width="14" style="74" bestFit="1" customWidth="1"/>
    <col min="8717" max="8717" width="10" style="74" bestFit="1" customWidth="1"/>
    <col min="8718" max="8718" width="10.33203125" style="74" bestFit="1" customWidth="1"/>
    <col min="8719" max="8719" width="10" style="74" customWidth="1"/>
    <col min="8720" max="8720" width="12.6640625" style="74" customWidth="1"/>
    <col min="8721" max="8721" width="14.6640625" style="74" customWidth="1"/>
    <col min="8722" max="8722" width="10.109375" style="74" bestFit="1" customWidth="1"/>
    <col min="8723" max="8959" width="9" style="74"/>
    <col min="8960" max="8960" width="4.109375" style="74" customWidth="1"/>
    <col min="8961" max="8961" width="4.33203125" style="74" customWidth="1"/>
    <col min="8962" max="8962" width="13.5546875" style="74" customWidth="1"/>
    <col min="8963" max="8963" width="65" style="74" customWidth="1"/>
    <col min="8964" max="8964" width="6.6640625" style="74" customWidth="1"/>
    <col min="8965" max="8965" width="8.44140625" style="74" customWidth="1"/>
    <col min="8966" max="8966" width="10" style="74" customWidth="1"/>
    <col min="8967" max="8967" width="15.6640625" style="74" customWidth="1"/>
    <col min="8968" max="8968" width="18.109375" style="74" customWidth="1"/>
    <col min="8969" max="8969" width="15.88671875" style="74" customWidth="1"/>
    <col min="8970" max="8970" width="11.44140625" style="74" bestFit="1" customWidth="1"/>
    <col min="8971" max="8971" width="10.6640625" style="74" bestFit="1" customWidth="1"/>
    <col min="8972" max="8972" width="14" style="74" bestFit="1" customWidth="1"/>
    <col min="8973" max="8973" width="10" style="74" bestFit="1" customWidth="1"/>
    <col min="8974" max="8974" width="10.33203125" style="74" bestFit="1" customWidth="1"/>
    <col min="8975" max="8975" width="10" style="74" customWidth="1"/>
    <col min="8976" max="8976" width="12.6640625" style="74" customWidth="1"/>
    <col min="8977" max="8977" width="14.6640625" style="74" customWidth="1"/>
    <col min="8978" max="8978" width="10.109375" style="74" bestFit="1" customWidth="1"/>
    <col min="8979" max="9215" width="9" style="74"/>
    <col min="9216" max="9216" width="4.109375" style="74" customWidth="1"/>
    <col min="9217" max="9217" width="4.33203125" style="74" customWidth="1"/>
    <col min="9218" max="9218" width="13.5546875" style="74" customWidth="1"/>
    <col min="9219" max="9219" width="65" style="74" customWidth="1"/>
    <col min="9220" max="9220" width="6.6640625" style="74" customWidth="1"/>
    <col min="9221" max="9221" width="8.44140625" style="74" customWidth="1"/>
    <col min="9222" max="9222" width="10" style="74" customWidth="1"/>
    <col min="9223" max="9223" width="15.6640625" style="74" customWidth="1"/>
    <col min="9224" max="9224" width="18.109375" style="74" customWidth="1"/>
    <col min="9225" max="9225" width="15.88671875" style="74" customWidth="1"/>
    <col min="9226" max="9226" width="11.44140625" style="74" bestFit="1" customWidth="1"/>
    <col min="9227" max="9227" width="10.6640625" style="74" bestFit="1" customWidth="1"/>
    <col min="9228" max="9228" width="14" style="74" bestFit="1" customWidth="1"/>
    <col min="9229" max="9229" width="10" style="74" bestFit="1" customWidth="1"/>
    <col min="9230" max="9230" width="10.33203125" style="74" bestFit="1" customWidth="1"/>
    <col min="9231" max="9231" width="10" style="74" customWidth="1"/>
    <col min="9232" max="9232" width="12.6640625" style="74" customWidth="1"/>
    <col min="9233" max="9233" width="14.6640625" style="74" customWidth="1"/>
    <col min="9234" max="9234" width="10.109375" style="74" bestFit="1" customWidth="1"/>
    <col min="9235" max="9471" width="9" style="74"/>
    <col min="9472" max="9472" width="4.109375" style="74" customWidth="1"/>
    <col min="9473" max="9473" width="4.33203125" style="74" customWidth="1"/>
    <col min="9474" max="9474" width="13.5546875" style="74" customWidth="1"/>
    <col min="9475" max="9475" width="65" style="74" customWidth="1"/>
    <col min="9476" max="9476" width="6.6640625" style="74" customWidth="1"/>
    <col min="9477" max="9477" width="8.44140625" style="74" customWidth="1"/>
    <col min="9478" max="9478" width="10" style="74" customWidth="1"/>
    <col min="9479" max="9479" width="15.6640625" style="74" customWidth="1"/>
    <col min="9480" max="9480" width="18.109375" style="74" customWidth="1"/>
    <col min="9481" max="9481" width="15.88671875" style="74" customWidth="1"/>
    <col min="9482" max="9482" width="11.44140625" style="74" bestFit="1" customWidth="1"/>
    <col min="9483" max="9483" width="10.6640625" style="74" bestFit="1" customWidth="1"/>
    <col min="9484" max="9484" width="14" style="74" bestFit="1" customWidth="1"/>
    <col min="9485" max="9485" width="10" style="74" bestFit="1" customWidth="1"/>
    <col min="9486" max="9486" width="10.33203125" style="74" bestFit="1" customWidth="1"/>
    <col min="9487" max="9487" width="10" style="74" customWidth="1"/>
    <col min="9488" max="9488" width="12.6640625" style="74" customWidth="1"/>
    <col min="9489" max="9489" width="14.6640625" style="74" customWidth="1"/>
    <col min="9490" max="9490" width="10.109375" style="74" bestFit="1" customWidth="1"/>
    <col min="9491" max="9727" width="9" style="74"/>
    <col min="9728" max="9728" width="4.109375" style="74" customWidth="1"/>
    <col min="9729" max="9729" width="4.33203125" style="74" customWidth="1"/>
    <col min="9730" max="9730" width="13.5546875" style="74" customWidth="1"/>
    <col min="9731" max="9731" width="65" style="74" customWidth="1"/>
    <col min="9732" max="9732" width="6.6640625" style="74" customWidth="1"/>
    <col min="9733" max="9733" width="8.44140625" style="74" customWidth="1"/>
    <col min="9734" max="9734" width="10" style="74" customWidth="1"/>
    <col min="9735" max="9735" width="15.6640625" style="74" customWidth="1"/>
    <col min="9736" max="9736" width="18.109375" style="74" customWidth="1"/>
    <col min="9737" max="9737" width="15.88671875" style="74" customWidth="1"/>
    <col min="9738" max="9738" width="11.44140625" style="74" bestFit="1" customWidth="1"/>
    <col min="9739" max="9739" width="10.6640625" style="74" bestFit="1" customWidth="1"/>
    <col min="9740" max="9740" width="14" style="74" bestFit="1" customWidth="1"/>
    <col min="9741" max="9741" width="10" style="74" bestFit="1" customWidth="1"/>
    <col min="9742" max="9742" width="10.33203125" style="74" bestFit="1" customWidth="1"/>
    <col min="9743" max="9743" width="10" style="74" customWidth="1"/>
    <col min="9744" max="9744" width="12.6640625" style="74" customWidth="1"/>
    <col min="9745" max="9745" width="14.6640625" style="74" customWidth="1"/>
    <col min="9746" max="9746" width="10.109375" style="74" bestFit="1" customWidth="1"/>
    <col min="9747" max="9983" width="9" style="74"/>
    <col min="9984" max="9984" width="4.109375" style="74" customWidth="1"/>
    <col min="9985" max="9985" width="4.33203125" style="74" customWidth="1"/>
    <col min="9986" max="9986" width="13.5546875" style="74" customWidth="1"/>
    <col min="9987" max="9987" width="65" style="74" customWidth="1"/>
    <col min="9988" max="9988" width="6.6640625" style="74" customWidth="1"/>
    <col min="9989" max="9989" width="8.44140625" style="74" customWidth="1"/>
    <col min="9990" max="9990" width="10" style="74" customWidth="1"/>
    <col min="9991" max="9991" width="15.6640625" style="74" customWidth="1"/>
    <col min="9992" max="9992" width="18.109375" style="74" customWidth="1"/>
    <col min="9993" max="9993" width="15.88671875" style="74" customWidth="1"/>
    <col min="9994" max="9994" width="11.44140625" style="74" bestFit="1" customWidth="1"/>
    <col min="9995" max="9995" width="10.6640625" style="74" bestFit="1" customWidth="1"/>
    <col min="9996" max="9996" width="14" style="74" bestFit="1" customWidth="1"/>
    <col min="9997" max="9997" width="10" style="74" bestFit="1" customWidth="1"/>
    <col min="9998" max="9998" width="10.33203125" style="74" bestFit="1" customWidth="1"/>
    <col min="9999" max="9999" width="10" style="74" customWidth="1"/>
    <col min="10000" max="10000" width="12.6640625" style="74" customWidth="1"/>
    <col min="10001" max="10001" width="14.6640625" style="74" customWidth="1"/>
    <col min="10002" max="10002" width="10.109375" style="74" bestFit="1" customWidth="1"/>
    <col min="10003" max="10239" width="9" style="74"/>
    <col min="10240" max="10240" width="4.109375" style="74" customWidth="1"/>
    <col min="10241" max="10241" width="4.33203125" style="74" customWidth="1"/>
    <col min="10242" max="10242" width="13.5546875" style="74" customWidth="1"/>
    <col min="10243" max="10243" width="65" style="74" customWidth="1"/>
    <col min="10244" max="10244" width="6.6640625" style="74" customWidth="1"/>
    <col min="10245" max="10245" width="8.44140625" style="74" customWidth="1"/>
    <col min="10246" max="10246" width="10" style="74" customWidth="1"/>
    <col min="10247" max="10247" width="15.6640625" style="74" customWidth="1"/>
    <col min="10248" max="10248" width="18.109375" style="74" customWidth="1"/>
    <col min="10249" max="10249" width="15.88671875" style="74" customWidth="1"/>
    <col min="10250" max="10250" width="11.44140625" style="74" bestFit="1" customWidth="1"/>
    <col min="10251" max="10251" width="10.6640625" style="74" bestFit="1" customWidth="1"/>
    <col min="10252" max="10252" width="14" style="74" bestFit="1" customWidth="1"/>
    <col min="10253" max="10253" width="10" style="74" bestFit="1" customWidth="1"/>
    <col min="10254" max="10254" width="10.33203125" style="74" bestFit="1" customWidth="1"/>
    <col min="10255" max="10255" width="10" style="74" customWidth="1"/>
    <col min="10256" max="10256" width="12.6640625" style="74" customWidth="1"/>
    <col min="10257" max="10257" width="14.6640625" style="74" customWidth="1"/>
    <col min="10258" max="10258" width="10.109375" style="74" bestFit="1" customWidth="1"/>
    <col min="10259" max="10495" width="9" style="74"/>
    <col min="10496" max="10496" width="4.109375" style="74" customWidth="1"/>
    <col min="10497" max="10497" width="4.33203125" style="74" customWidth="1"/>
    <col min="10498" max="10498" width="13.5546875" style="74" customWidth="1"/>
    <col min="10499" max="10499" width="65" style="74" customWidth="1"/>
    <col min="10500" max="10500" width="6.6640625" style="74" customWidth="1"/>
    <col min="10501" max="10501" width="8.44140625" style="74" customWidth="1"/>
    <col min="10502" max="10502" width="10" style="74" customWidth="1"/>
    <col min="10503" max="10503" width="15.6640625" style="74" customWidth="1"/>
    <col min="10504" max="10504" width="18.109375" style="74" customWidth="1"/>
    <col min="10505" max="10505" width="15.88671875" style="74" customWidth="1"/>
    <col min="10506" max="10506" width="11.44140625" style="74" bestFit="1" customWidth="1"/>
    <col min="10507" max="10507" width="10.6640625" style="74" bestFit="1" customWidth="1"/>
    <col min="10508" max="10508" width="14" style="74" bestFit="1" customWidth="1"/>
    <col min="10509" max="10509" width="10" style="74" bestFit="1" customWidth="1"/>
    <col min="10510" max="10510" width="10.33203125" style="74" bestFit="1" customWidth="1"/>
    <col min="10511" max="10511" width="10" style="74" customWidth="1"/>
    <col min="10512" max="10512" width="12.6640625" style="74" customWidth="1"/>
    <col min="10513" max="10513" width="14.6640625" style="74" customWidth="1"/>
    <col min="10514" max="10514" width="10.109375" style="74" bestFit="1" customWidth="1"/>
    <col min="10515" max="10751" width="9" style="74"/>
    <col min="10752" max="10752" width="4.109375" style="74" customWidth="1"/>
    <col min="10753" max="10753" width="4.33203125" style="74" customWidth="1"/>
    <col min="10754" max="10754" width="13.5546875" style="74" customWidth="1"/>
    <col min="10755" max="10755" width="65" style="74" customWidth="1"/>
    <col min="10756" max="10756" width="6.6640625" style="74" customWidth="1"/>
    <col min="10757" max="10757" width="8.44140625" style="74" customWidth="1"/>
    <col min="10758" max="10758" width="10" style="74" customWidth="1"/>
    <col min="10759" max="10759" width="15.6640625" style="74" customWidth="1"/>
    <col min="10760" max="10760" width="18.109375" style="74" customWidth="1"/>
    <col min="10761" max="10761" width="15.88671875" style="74" customWidth="1"/>
    <col min="10762" max="10762" width="11.44140625" style="74" bestFit="1" customWidth="1"/>
    <col min="10763" max="10763" width="10.6640625" style="74" bestFit="1" customWidth="1"/>
    <col min="10764" max="10764" width="14" style="74" bestFit="1" customWidth="1"/>
    <col min="10765" max="10765" width="10" style="74" bestFit="1" customWidth="1"/>
    <col min="10766" max="10766" width="10.33203125" style="74" bestFit="1" customWidth="1"/>
    <col min="10767" max="10767" width="10" style="74" customWidth="1"/>
    <col min="10768" max="10768" width="12.6640625" style="74" customWidth="1"/>
    <col min="10769" max="10769" width="14.6640625" style="74" customWidth="1"/>
    <col min="10770" max="10770" width="10.109375" style="74" bestFit="1" customWidth="1"/>
    <col min="10771" max="11007" width="9" style="74"/>
    <col min="11008" max="11008" width="4.109375" style="74" customWidth="1"/>
    <col min="11009" max="11009" width="4.33203125" style="74" customWidth="1"/>
    <col min="11010" max="11010" width="13.5546875" style="74" customWidth="1"/>
    <col min="11011" max="11011" width="65" style="74" customWidth="1"/>
    <col min="11012" max="11012" width="6.6640625" style="74" customWidth="1"/>
    <col min="11013" max="11013" width="8.44140625" style="74" customWidth="1"/>
    <col min="11014" max="11014" width="10" style="74" customWidth="1"/>
    <col min="11015" max="11015" width="15.6640625" style="74" customWidth="1"/>
    <col min="11016" max="11016" width="18.109375" style="74" customWidth="1"/>
    <col min="11017" max="11017" width="15.88671875" style="74" customWidth="1"/>
    <col min="11018" max="11018" width="11.44140625" style="74" bestFit="1" customWidth="1"/>
    <col min="11019" max="11019" width="10.6640625" style="74" bestFit="1" customWidth="1"/>
    <col min="11020" max="11020" width="14" style="74" bestFit="1" customWidth="1"/>
    <col min="11021" max="11021" width="10" style="74" bestFit="1" customWidth="1"/>
    <col min="11022" max="11022" width="10.33203125" style="74" bestFit="1" customWidth="1"/>
    <col min="11023" max="11023" width="10" style="74" customWidth="1"/>
    <col min="11024" max="11024" width="12.6640625" style="74" customWidth="1"/>
    <col min="11025" max="11025" width="14.6640625" style="74" customWidth="1"/>
    <col min="11026" max="11026" width="10.109375" style="74" bestFit="1" customWidth="1"/>
    <col min="11027" max="11263" width="9" style="74"/>
    <col min="11264" max="11264" width="4.109375" style="74" customWidth="1"/>
    <col min="11265" max="11265" width="4.33203125" style="74" customWidth="1"/>
    <col min="11266" max="11266" width="13.5546875" style="74" customWidth="1"/>
    <col min="11267" max="11267" width="65" style="74" customWidth="1"/>
    <col min="11268" max="11268" width="6.6640625" style="74" customWidth="1"/>
    <col min="11269" max="11269" width="8.44140625" style="74" customWidth="1"/>
    <col min="11270" max="11270" width="10" style="74" customWidth="1"/>
    <col min="11271" max="11271" width="15.6640625" style="74" customWidth="1"/>
    <col min="11272" max="11272" width="18.109375" style="74" customWidth="1"/>
    <col min="11273" max="11273" width="15.88671875" style="74" customWidth="1"/>
    <col min="11274" max="11274" width="11.44140625" style="74" bestFit="1" customWidth="1"/>
    <col min="11275" max="11275" width="10.6640625" style="74" bestFit="1" customWidth="1"/>
    <col min="11276" max="11276" width="14" style="74" bestFit="1" customWidth="1"/>
    <col min="11277" max="11277" width="10" style="74" bestFit="1" customWidth="1"/>
    <col min="11278" max="11278" width="10.33203125" style="74" bestFit="1" customWidth="1"/>
    <col min="11279" max="11279" width="10" style="74" customWidth="1"/>
    <col min="11280" max="11280" width="12.6640625" style="74" customWidth="1"/>
    <col min="11281" max="11281" width="14.6640625" style="74" customWidth="1"/>
    <col min="11282" max="11282" width="10.109375" style="74" bestFit="1" customWidth="1"/>
    <col min="11283" max="11519" width="9" style="74"/>
    <col min="11520" max="11520" width="4.109375" style="74" customWidth="1"/>
    <col min="11521" max="11521" width="4.33203125" style="74" customWidth="1"/>
    <col min="11522" max="11522" width="13.5546875" style="74" customWidth="1"/>
    <col min="11523" max="11523" width="65" style="74" customWidth="1"/>
    <col min="11524" max="11524" width="6.6640625" style="74" customWidth="1"/>
    <col min="11525" max="11525" width="8.44140625" style="74" customWidth="1"/>
    <col min="11526" max="11526" width="10" style="74" customWidth="1"/>
    <col min="11527" max="11527" width="15.6640625" style="74" customWidth="1"/>
    <col min="11528" max="11528" width="18.109375" style="74" customWidth="1"/>
    <col min="11529" max="11529" width="15.88671875" style="74" customWidth="1"/>
    <col min="11530" max="11530" width="11.44140625" style="74" bestFit="1" customWidth="1"/>
    <col min="11531" max="11531" width="10.6640625" style="74" bestFit="1" customWidth="1"/>
    <col min="11532" max="11532" width="14" style="74" bestFit="1" customWidth="1"/>
    <col min="11533" max="11533" width="10" style="74" bestFit="1" customWidth="1"/>
    <col min="11534" max="11534" width="10.33203125" style="74" bestFit="1" customWidth="1"/>
    <col min="11535" max="11535" width="10" style="74" customWidth="1"/>
    <col min="11536" max="11536" width="12.6640625" style="74" customWidth="1"/>
    <col min="11537" max="11537" width="14.6640625" style="74" customWidth="1"/>
    <col min="11538" max="11538" width="10.109375" style="74" bestFit="1" customWidth="1"/>
    <col min="11539" max="11775" width="9" style="74"/>
    <col min="11776" max="11776" width="4.109375" style="74" customWidth="1"/>
    <col min="11777" max="11777" width="4.33203125" style="74" customWidth="1"/>
    <col min="11778" max="11778" width="13.5546875" style="74" customWidth="1"/>
    <col min="11779" max="11779" width="65" style="74" customWidth="1"/>
    <col min="11780" max="11780" width="6.6640625" style="74" customWidth="1"/>
    <col min="11781" max="11781" width="8.44140625" style="74" customWidth="1"/>
    <col min="11782" max="11782" width="10" style="74" customWidth="1"/>
    <col min="11783" max="11783" width="15.6640625" style="74" customWidth="1"/>
    <col min="11784" max="11784" width="18.109375" style="74" customWidth="1"/>
    <col min="11785" max="11785" width="15.88671875" style="74" customWidth="1"/>
    <col min="11786" max="11786" width="11.44140625" style="74" bestFit="1" customWidth="1"/>
    <col min="11787" max="11787" width="10.6640625" style="74" bestFit="1" customWidth="1"/>
    <col min="11788" max="11788" width="14" style="74" bestFit="1" customWidth="1"/>
    <col min="11789" max="11789" width="10" style="74" bestFit="1" customWidth="1"/>
    <col min="11790" max="11790" width="10.33203125" style="74" bestFit="1" customWidth="1"/>
    <col min="11791" max="11791" width="10" style="74" customWidth="1"/>
    <col min="11792" max="11792" width="12.6640625" style="74" customWidth="1"/>
    <col min="11793" max="11793" width="14.6640625" style="74" customWidth="1"/>
    <col min="11794" max="11794" width="10.109375" style="74" bestFit="1" customWidth="1"/>
    <col min="11795" max="12031" width="9" style="74"/>
    <col min="12032" max="12032" width="4.109375" style="74" customWidth="1"/>
    <col min="12033" max="12033" width="4.33203125" style="74" customWidth="1"/>
    <col min="12034" max="12034" width="13.5546875" style="74" customWidth="1"/>
    <col min="12035" max="12035" width="65" style="74" customWidth="1"/>
    <col min="12036" max="12036" width="6.6640625" style="74" customWidth="1"/>
    <col min="12037" max="12037" width="8.44140625" style="74" customWidth="1"/>
    <col min="12038" max="12038" width="10" style="74" customWidth="1"/>
    <col min="12039" max="12039" width="15.6640625" style="74" customWidth="1"/>
    <col min="12040" max="12040" width="18.109375" style="74" customWidth="1"/>
    <col min="12041" max="12041" width="15.88671875" style="74" customWidth="1"/>
    <col min="12042" max="12042" width="11.44140625" style="74" bestFit="1" customWidth="1"/>
    <col min="12043" max="12043" width="10.6640625" style="74" bestFit="1" customWidth="1"/>
    <col min="12044" max="12044" width="14" style="74" bestFit="1" customWidth="1"/>
    <col min="12045" max="12045" width="10" style="74" bestFit="1" customWidth="1"/>
    <col min="12046" max="12046" width="10.33203125" style="74" bestFit="1" customWidth="1"/>
    <col min="12047" max="12047" width="10" style="74" customWidth="1"/>
    <col min="12048" max="12048" width="12.6640625" style="74" customWidth="1"/>
    <col min="12049" max="12049" width="14.6640625" style="74" customWidth="1"/>
    <col min="12050" max="12050" width="10.109375" style="74" bestFit="1" customWidth="1"/>
    <col min="12051" max="12287" width="9" style="74"/>
    <col min="12288" max="12288" width="4.109375" style="74" customWidth="1"/>
    <col min="12289" max="12289" width="4.33203125" style="74" customWidth="1"/>
    <col min="12290" max="12290" width="13.5546875" style="74" customWidth="1"/>
    <col min="12291" max="12291" width="65" style="74" customWidth="1"/>
    <col min="12292" max="12292" width="6.6640625" style="74" customWidth="1"/>
    <col min="12293" max="12293" width="8.44140625" style="74" customWidth="1"/>
    <col min="12294" max="12294" width="10" style="74" customWidth="1"/>
    <col min="12295" max="12295" width="15.6640625" style="74" customWidth="1"/>
    <col min="12296" max="12296" width="18.109375" style="74" customWidth="1"/>
    <col min="12297" max="12297" width="15.88671875" style="74" customWidth="1"/>
    <col min="12298" max="12298" width="11.44140625" style="74" bestFit="1" customWidth="1"/>
    <col min="12299" max="12299" width="10.6640625" style="74" bestFit="1" customWidth="1"/>
    <col min="12300" max="12300" width="14" style="74" bestFit="1" customWidth="1"/>
    <col min="12301" max="12301" width="10" style="74" bestFit="1" customWidth="1"/>
    <col min="12302" max="12302" width="10.33203125" style="74" bestFit="1" customWidth="1"/>
    <col min="12303" max="12303" width="10" style="74" customWidth="1"/>
    <col min="12304" max="12304" width="12.6640625" style="74" customWidth="1"/>
    <col min="12305" max="12305" width="14.6640625" style="74" customWidth="1"/>
    <col min="12306" max="12306" width="10.109375" style="74" bestFit="1" customWidth="1"/>
    <col min="12307" max="12543" width="9" style="74"/>
    <col min="12544" max="12544" width="4.109375" style="74" customWidth="1"/>
    <col min="12545" max="12545" width="4.33203125" style="74" customWidth="1"/>
    <col min="12546" max="12546" width="13.5546875" style="74" customWidth="1"/>
    <col min="12547" max="12547" width="65" style="74" customWidth="1"/>
    <col min="12548" max="12548" width="6.6640625" style="74" customWidth="1"/>
    <col min="12549" max="12549" width="8.44140625" style="74" customWidth="1"/>
    <col min="12550" max="12550" width="10" style="74" customWidth="1"/>
    <col min="12551" max="12551" width="15.6640625" style="74" customWidth="1"/>
    <col min="12552" max="12552" width="18.109375" style="74" customWidth="1"/>
    <col min="12553" max="12553" width="15.88671875" style="74" customWidth="1"/>
    <col min="12554" max="12554" width="11.44140625" style="74" bestFit="1" customWidth="1"/>
    <col min="12555" max="12555" width="10.6640625" style="74" bestFit="1" customWidth="1"/>
    <col min="12556" max="12556" width="14" style="74" bestFit="1" customWidth="1"/>
    <col min="12557" max="12557" width="10" style="74" bestFit="1" customWidth="1"/>
    <col min="12558" max="12558" width="10.33203125" style="74" bestFit="1" customWidth="1"/>
    <col min="12559" max="12559" width="10" style="74" customWidth="1"/>
    <col min="12560" max="12560" width="12.6640625" style="74" customWidth="1"/>
    <col min="12561" max="12561" width="14.6640625" style="74" customWidth="1"/>
    <col min="12562" max="12562" width="10.109375" style="74" bestFit="1" customWidth="1"/>
    <col min="12563" max="12799" width="9" style="74"/>
    <col min="12800" max="12800" width="4.109375" style="74" customWidth="1"/>
    <col min="12801" max="12801" width="4.33203125" style="74" customWidth="1"/>
    <col min="12802" max="12802" width="13.5546875" style="74" customWidth="1"/>
    <col min="12803" max="12803" width="65" style="74" customWidth="1"/>
    <col min="12804" max="12804" width="6.6640625" style="74" customWidth="1"/>
    <col min="12805" max="12805" width="8.44140625" style="74" customWidth="1"/>
    <col min="12806" max="12806" width="10" style="74" customWidth="1"/>
    <col min="12807" max="12807" width="15.6640625" style="74" customWidth="1"/>
    <col min="12808" max="12808" width="18.109375" style="74" customWidth="1"/>
    <col min="12809" max="12809" width="15.88671875" style="74" customWidth="1"/>
    <col min="12810" max="12810" width="11.44140625" style="74" bestFit="1" customWidth="1"/>
    <col min="12811" max="12811" width="10.6640625" style="74" bestFit="1" customWidth="1"/>
    <col min="12812" max="12812" width="14" style="74" bestFit="1" customWidth="1"/>
    <col min="12813" max="12813" width="10" style="74" bestFit="1" customWidth="1"/>
    <col min="12814" max="12814" width="10.33203125" style="74" bestFit="1" customWidth="1"/>
    <col min="12815" max="12815" width="10" style="74" customWidth="1"/>
    <col min="12816" max="12816" width="12.6640625" style="74" customWidth="1"/>
    <col min="12817" max="12817" width="14.6640625" style="74" customWidth="1"/>
    <col min="12818" max="12818" width="10.109375" style="74" bestFit="1" customWidth="1"/>
    <col min="12819" max="13055" width="9" style="74"/>
    <col min="13056" max="13056" width="4.109375" style="74" customWidth="1"/>
    <col min="13057" max="13057" width="4.33203125" style="74" customWidth="1"/>
    <col min="13058" max="13058" width="13.5546875" style="74" customWidth="1"/>
    <col min="13059" max="13059" width="65" style="74" customWidth="1"/>
    <col min="13060" max="13060" width="6.6640625" style="74" customWidth="1"/>
    <col min="13061" max="13061" width="8.44140625" style="74" customWidth="1"/>
    <col min="13062" max="13062" width="10" style="74" customWidth="1"/>
    <col min="13063" max="13063" width="15.6640625" style="74" customWidth="1"/>
    <col min="13064" max="13064" width="18.109375" style="74" customWidth="1"/>
    <col min="13065" max="13065" width="15.88671875" style="74" customWidth="1"/>
    <col min="13066" max="13066" width="11.44140625" style="74" bestFit="1" customWidth="1"/>
    <col min="13067" max="13067" width="10.6640625" style="74" bestFit="1" customWidth="1"/>
    <col min="13068" max="13068" width="14" style="74" bestFit="1" customWidth="1"/>
    <col min="13069" max="13069" width="10" style="74" bestFit="1" customWidth="1"/>
    <col min="13070" max="13070" width="10.33203125" style="74" bestFit="1" customWidth="1"/>
    <col min="13071" max="13071" width="10" style="74" customWidth="1"/>
    <col min="13072" max="13072" width="12.6640625" style="74" customWidth="1"/>
    <col min="13073" max="13073" width="14.6640625" style="74" customWidth="1"/>
    <col min="13074" max="13074" width="10.109375" style="74" bestFit="1" customWidth="1"/>
    <col min="13075" max="13311" width="9" style="74"/>
    <col min="13312" max="13312" width="4.109375" style="74" customWidth="1"/>
    <col min="13313" max="13313" width="4.33203125" style="74" customWidth="1"/>
    <col min="13314" max="13314" width="13.5546875" style="74" customWidth="1"/>
    <col min="13315" max="13315" width="65" style="74" customWidth="1"/>
    <col min="13316" max="13316" width="6.6640625" style="74" customWidth="1"/>
    <col min="13317" max="13317" width="8.44140625" style="74" customWidth="1"/>
    <col min="13318" max="13318" width="10" style="74" customWidth="1"/>
    <col min="13319" max="13319" width="15.6640625" style="74" customWidth="1"/>
    <col min="13320" max="13320" width="18.109375" style="74" customWidth="1"/>
    <col min="13321" max="13321" width="15.88671875" style="74" customWidth="1"/>
    <col min="13322" max="13322" width="11.44140625" style="74" bestFit="1" customWidth="1"/>
    <col min="13323" max="13323" width="10.6640625" style="74" bestFit="1" customWidth="1"/>
    <col min="13324" max="13324" width="14" style="74" bestFit="1" customWidth="1"/>
    <col min="13325" max="13325" width="10" style="74" bestFit="1" customWidth="1"/>
    <col min="13326" max="13326" width="10.33203125" style="74" bestFit="1" customWidth="1"/>
    <col min="13327" max="13327" width="10" style="74" customWidth="1"/>
    <col min="13328" max="13328" width="12.6640625" style="74" customWidth="1"/>
    <col min="13329" max="13329" width="14.6640625" style="74" customWidth="1"/>
    <col min="13330" max="13330" width="10.109375" style="74" bestFit="1" customWidth="1"/>
    <col min="13331" max="13567" width="9" style="74"/>
    <col min="13568" max="13568" width="4.109375" style="74" customWidth="1"/>
    <col min="13569" max="13569" width="4.33203125" style="74" customWidth="1"/>
    <col min="13570" max="13570" width="13.5546875" style="74" customWidth="1"/>
    <col min="13571" max="13571" width="65" style="74" customWidth="1"/>
    <col min="13572" max="13572" width="6.6640625" style="74" customWidth="1"/>
    <col min="13573" max="13573" width="8.44140625" style="74" customWidth="1"/>
    <col min="13574" max="13574" width="10" style="74" customWidth="1"/>
    <col min="13575" max="13575" width="15.6640625" style="74" customWidth="1"/>
    <col min="13576" max="13576" width="18.109375" style="74" customWidth="1"/>
    <col min="13577" max="13577" width="15.88671875" style="74" customWidth="1"/>
    <col min="13578" max="13578" width="11.44140625" style="74" bestFit="1" customWidth="1"/>
    <col min="13579" max="13579" width="10.6640625" style="74" bestFit="1" customWidth="1"/>
    <col min="13580" max="13580" width="14" style="74" bestFit="1" customWidth="1"/>
    <col min="13581" max="13581" width="10" style="74" bestFit="1" customWidth="1"/>
    <col min="13582" max="13582" width="10.33203125" style="74" bestFit="1" customWidth="1"/>
    <col min="13583" max="13583" width="10" style="74" customWidth="1"/>
    <col min="13584" max="13584" width="12.6640625" style="74" customWidth="1"/>
    <col min="13585" max="13585" width="14.6640625" style="74" customWidth="1"/>
    <col min="13586" max="13586" width="10.109375" style="74" bestFit="1" customWidth="1"/>
    <col min="13587" max="13823" width="9" style="74"/>
    <col min="13824" max="13824" width="4.109375" style="74" customWidth="1"/>
    <col min="13825" max="13825" width="4.33203125" style="74" customWidth="1"/>
    <col min="13826" max="13826" width="13.5546875" style="74" customWidth="1"/>
    <col min="13827" max="13827" width="65" style="74" customWidth="1"/>
    <col min="13828" max="13828" width="6.6640625" style="74" customWidth="1"/>
    <col min="13829" max="13829" width="8.44140625" style="74" customWidth="1"/>
    <col min="13830" max="13830" width="10" style="74" customWidth="1"/>
    <col min="13831" max="13831" width="15.6640625" style="74" customWidth="1"/>
    <col min="13832" max="13832" width="18.109375" style="74" customWidth="1"/>
    <col min="13833" max="13833" width="15.88671875" style="74" customWidth="1"/>
    <col min="13834" max="13834" width="11.44140625" style="74" bestFit="1" customWidth="1"/>
    <col min="13835" max="13835" width="10.6640625" style="74" bestFit="1" customWidth="1"/>
    <col min="13836" max="13836" width="14" style="74" bestFit="1" customWidth="1"/>
    <col min="13837" max="13837" width="10" style="74" bestFit="1" customWidth="1"/>
    <col min="13838" max="13838" width="10.33203125" style="74" bestFit="1" customWidth="1"/>
    <col min="13839" max="13839" width="10" style="74" customWidth="1"/>
    <col min="13840" max="13840" width="12.6640625" style="74" customWidth="1"/>
    <col min="13841" max="13841" width="14.6640625" style="74" customWidth="1"/>
    <col min="13842" max="13842" width="10.109375" style="74" bestFit="1" customWidth="1"/>
    <col min="13843" max="14079" width="9" style="74"/>
    <col min="14080" max="14080" width="4.109375" style="74" customWidth="1"/>
    <col min="14081" max="14081" width="4.33203125" style="74" customWidth="1"/>
    <col min="14082" max="14082" width="13.5546875" style="74" customWidth="1"/>
    <col min="14083" max="14083" width="65" style="74" customWidth="1"/>
    <col min="14084" max="14084" width="6.6640625" style="74" customWidth="1"/>
    <col min="14085" max="14085" width="8.44140625" style="74" customWidth="1"/>
    <col min="14086" max="14086" width="10" style="74" customWidth="1"/>
    <col min="14087" max="14087" width="15.6640625" style="74" customWidth="1"/>
    <col min="14088" max="14088" width="18.109375" style="74" customWidth="1"/>
    <col min="14089" max="14089" width="15.88671875" style="74" customWidth="1"/>
    <col min="14090" max="14090" width="11.44140625" style="74" bestFit="1" customWidth="1"/>
    <col min="14091" max="14091" width="10.6640625" style="74" bestFit="1" customWidth="1"/>
    <col min="14092" max="14092" width="14" style="74" bestFit="1" customWidth="1"/>
    <col min="14093" max="14093" width="10" style="74" bestFit="1" customWidth="1"/>
    <col min="14094" max="14094" width="10.33203125" style="74" bestFit="1" customWidth="1"/>
    <col min="14095" max="14095" width="10" style="74" customWidth="1"/>
    <col min="14096" max="14096" width="12.6640625" style="74" customWidth="1"/>
    <col min="14097" max="14097" width="14.6640625" style="74" customWidth="1"/>
    <col min="14098" max="14098" width="10.109375" style="74" bestFit="1" customWidth="1"/>
    <col min="14099" max="14335" width="9" style="74"/>
    <col min="14336" max="14336" width="4.109375" style="74" customWidth="1"/>
    <col min="14337" max="14337" width="4.33203125" style="74" customWidth="1"/>
    <col min="14338" max="14338" width="13.5546875" style="74" customWidth="1"/>
    <col min="14339" max="14339" width="65" style="74" customWidth="1"/>
    <col min="14340" max="14340" width="6.6640625" style="74" customWidth="1"/>
    <col min="14341" max="14341" width="8.44140625" style="74" customWidth="1"/>
    <col min="14342" max="14342" width="10" style="74" customWidth="1"/>
    <col min="14343" max="14343" width="15.6640625" style="74" customWidth="1"/>
    <col min="14344" max="14344" width="18.109375" style="74" customWidth="1"/>
    <col min="14345" max="14345" width="15.88671875" style="74" customWidth="1"/>
    <col min="14346" max="14346" width="11.44140625" style="74" bestFit="1" customWidth="1"/>
    <col min="14347" max="14347" width="10.6640625" style="74" bestFit="1" customWidth="1"/>
    <col min="14348" max="14348" width="14" style="74" bestFit="1" customWidth="1"/>
    <col min="14349" max="14349" width="10" style="74" bestFit="1" customWidth="1"/>
    <col min="14350" max="14350" width="10.33203125" style="74" bestFit="1" customWidth="1"/>
    <col min="14351" max="14351" width="10" style="74" customWidth="1"/>
    <col min="14352" max="14352" width="12.6640625" style="74" customWidth="1"/>
    <col min="14353" max="14353" width="14.6640625" style="74" customWidth="1"/>
    <col min="14354" max="14354" width="10.109375" style="74" bestFit="1" customWidth="1"/>
    <col min="14355" max="14591" width="9" style="74"/>
    <col min="14592" max="14592" width="4.109375" style="74" customWidth="1"/>
    <col min="14593" max="14593" width="4.33203125" style="74" customWidth="1"/>
    <col min="14594" max="14594" width="13.5546875" style="74" customWidth="1"/>
    <col min="14595" max="14595" width="65" style="74" customWidth="1"/>
    <col min="14596" max="14596" width="6.6640625" style="74" customWidth="1"/>
    <col min="14597" max="14597" width="8.44140625" style="74" customWidth="1"/>
    <col min="14598" max="14598" width="10" style="74" customWidth="1"/>
    <col min="14599" max="14599" width="15.6640625" style="74" customWidth="1"/>
    <col min="14600" max="14600" width="18.109375" style="74" customWidth="1"/>
    <col min="14601" max="14601" width="15.88671875" style="74" customWidth="1"/>
    <col min="14602" max="14602" width="11.44140625" style="74" bestFit="1" customWidth="1"/>
    <col min="14603" max="14603" width="10.6640625" style="74" bestFit="1" customWidth="1"/>
    <col min="14604" max="14604" width="14" style="74" bestFit="1" customWidth="1"/>
    <col min="14605" max="14605" width="10" style="74" bestFit="1" customWidth="1"/>
    <col min="14606" max="14606" width="10.33203125" style="74" bestFit="1" customWidth="1"/>
    <col min="14607" max="14607" width="10" style="74" customWidth="1"/>
    <col min="14608" max="14608" width="12.6640625" style="74" customWidth="1"/>
    <col min="14609" max="14609" width="14.6640625" style="74" customWidth="1"/>
    <col min="14610" max="14610" width="10.109375" style="74" bestFit="1" customWidth="1"/>
    <col min="14611" max="14847" width="9" style="74"/>
    <col min="14848" max="14848" width="4.109375" style="74" customWidth="1"/>
    <col min="14849" max="14849" width="4.33203125" style="74" customWidth="1"/>
    <col min="14850" max="14850" width="13.5546875" style="74" customWidth="1"/>
    <col min="14851" max="14851" width="65" style="74" customWidth="1"/>
    <col min="14852" max="14852" width="6.6640625" style="74" customWidth="1"/>
    <col min="14853" max="14853" width="8.44140625" style="74" customWidth="1"/>
    <col min="14854" max="14854" width="10" style="74" customWidth="1"/>
    <col min="14855" max="14855" width="15.6640625" style="74" customWidth="1"/>
    <col min="14856" max="14856" width="18.109375" style="74" customWidth="1"/>
    <col min="14857" max="14857" width="15.88671875" style="74" customWidth="1"/>
    <col min="14858" max="14858" width="11.44140625" style="74" bestFit="1" customWidth="1"/>
    <col min="14859" max="14859" width="10.6640625" style="74" bestFit="1" customWidth="1"/>
    <col min="14860" max="14860" width="14" style="74" bestFit="1" customWidth="1"/>
    <col min="14861" max="14861" width="10" style="74" bestFit="1" customWidth="1"/>
    <col min="14862" max="14862" width="10.33203125" style="74" bestFit="1" customWidth="1"/>
    <col min="14863" max="14863" width="10" style="74" customWidth="1"/>
    <col min="14864" max="14864" width="12.6640625" style="74" customWidth="1"/>
    <col min="14865" max="14865" width="14.6640625" style="74" customWidth="1"/>
    <col min="14866" max="14866" width="10.109375" style="74" bestFit="1" customWidth="1"/>
    <col min="14867" max="15103" width="9" style="74"/>
    <col min="15104" max="15104" width="4.109375" style="74" customWidth="1"/>
    <col min="15105" max="15105" width="4.33203125" style="74" customWidth="1"/>
    <col min="15106" max="15106" width="13.5546875" style="74" customWidth="1"/>
    <col min="15107" max="15107" width="65" style="74" customWidth="1"/>
    <col min="15108" max="15108" width="6.6640625" style="74" customWidth="1"/>
    <col min="15109" max="15109" width="8.44140625" style="74" customWidth="1"/>
    <col min="15110" max="15110" width="10" style="74" customWidth="1"/>
    <col min="15111" max="15111" width="15.6640625" style="74" customWidth="1"/>
    <col min="15112" max="15112" width="18.109375" style="74" customWidth="1"/>
    <col min="15113" max="15113" width="15.88671875" style="74" customWidth="1"/>
    <col min="15114" max="15114" width="11.44140625" style="74" bestFit="1" customWidth="1"/>
    <col min="15115" max="15115" width="10.6640625" style="74" bestFit="1" customWidth="1"/>
    <col min="15116" max="15116" width="14" style="74" bestFit="1" customWidth="1"/>
    <col min="15117" max="15117" width="10" style="74" bestFit="1" customWidth="1"/>
    <col min="15118" max="15118" width="10.33203125" style="74" bestFit="1" customWidth="1"/>
    <col min="15119" max="15119" width="10" style="74" customWidth="1"/>
    <col min="15120" max="15120" width="12.6640625" style="74" customWidth="1"/>
    <col min="15121" max="15121" width="14.6640625" style="74" customWidth="1"/>
    <col min="15122" max="15122" width="10.109375" style="74" bestFit="1" customWidth="1"/>
    <col min="15123" max="15359" width="9" style="74"/>
    <col min="15360" max="15360" width="4.109375" style="74" customWidth="1"/>
    <col min="15361" max="15361" width="4.33203125" style="74" customWidth="1"/>
    <col min="15362" max="15362" width="13.5546875" style="74" customWidth="1"/>
    <col min="15363" max="15363" width="65" style="74" customWidth="1"/>
    <col min="15364" max="15364" width="6.6640625" style="74" customWidth="1"/>
    <col min="15365" max="15365" width="8.44140625" style="74" customWidth="1"/>
    <col min="15366" max="15366" width="10" style="74" customWidth="1"/>
    <col min="15367" max="15367" width="15.6640625" style="74" customWidth="1"/>
    <col min="15368" max="15368" width="18.109375" style="74" customWidth="1"/>
    <col min="15369" max="15369" width="15.88671875" style="74" customWidth="1"/>
    <col min="15370" max="15370" width="11.44140625" style="74" bestFit="1" customWidth="1"/>
    <col min="15371" max="15371" width="10.6640625" style="74" bestFit="1" customWidth="1"/>
    <col min="15372" max="15372" width="14" style="74" bestFit="1" customWidth="1"/>
    <col min="15373" max="15373" width="10" style="74" bestFit="1" customWidth="1"/>
    <col min="15374" max="15374" width="10.33203125" style="74" bestFit="1" customWidth="1"/>
    <col min="15375" max="15375" width="10" style="74" customWidth="1"/>
    <col min="15376" max="15376" width="12.6640625" style="74" customWidth="1"/>
    <col min="15377" max="15377" width="14.6640625" style="74" customWidth="1"/>
    <col min="15378" max="15378" width="10.109375" style="74" bestFit="1" customWidth="1"/>
    <col min="15379" max="15615" width="9" style="74"/>
    <col min="15616" max="15616" width="4.109375" style="74" customWidth="1"/>
    <col min="15617" max="15617" width="4.33203125" style="74" customWidth="1"/>
    <col min="15618" max="15618" width="13.5546875" style="74" customWidth="1"/>
    <col min="15619" max="15619" width="65" style="74" customWidth="1"/>
    <col min="15620" max="15620" width="6.6640625" style="74" customWidth="1"/>
    <col min="15621" max="15621" width="8.44140625" style="74" customWidth="1"/>
    <col min="15622" max="15622" width="10" style="74" customWidth="1"/>
    <col min="15623" max="15623" width="15.6640625" style="74" customWidth="1"/>
    <col min="15624" max="15624" width="18.109375" style="74" customWidth="1"/>
    <col min="15625" max="15625" width="15.88671875" style="74" customWidth="1"/>
    <col min="15626" max="15626" width="11.44140625" style="74" bestFit="1" customWidth="1"/>
    <col min="15627" max="15627" width="10.6640625" style="74" bestFit="1" customWidth="1"/>
    <col min="15628" max="15628" width="14" style="74" bestFit="1" customWidth="1"/>
    <col min="15629" max="15629" width="10" style="74" bestFit="1" customWidth="1"/>
    <col min="15630" max="15630" width="10.33203125" style="74" bestFit="1" customWidth="1"/>
    <col min="15631" max="15631" width="10" style="74" customWidth="1"/>
    <col min="15632" max="15632" width="12.6640625" style="74" customWidth="1"/>
    <col min="15633" max="15633" width="14.6640625" style="74" customWidth="1"/>
    <col min="15634" max="15634" width="10.109375" style="74" bestFit="1" customWidth="1"/>
    <col min="15635" max="15871" width="9" style="74"/>
    <col min="15872" max="15872" width="4.109375" style="74" customWidth="1"/>
    <col min="15873" max="15873" width="4.33203125" style="74" customWidth="1"/>
    <col min="15874" max="15874" width="13.5546875" style="74" customWidth="1"/>
    <col min="15875" max="15875" width="65" style="74" customWidth="1"/>
    <col min="15876" max="15876" width="6.6640625" style="74" customWidth="1"/>
    <col min="15877" max="15877" width="8.44140625" style="74" customWidth="1"/>
    <col min="15878" max="15878" width="10" style="74" customWidth="1"/>
    <col min="15879" max="15879" width="15.6640625" style="74" customWidth="1"/>
    <col min="15880" max="15880" width="18.109375" style="74" customWidth="1"/>
    <col min="15881" max="15881" width="15.88671875" style="74" customWidth="1"/>
    <col min="15882" max="15882" width="11.44140625" style="74" bestFit="1" customWidth="1"/>
    <col min="15883" max="15883" width="10.6640625" style="74" bestFit="1" customWidth="1"/>
    <col min="15884" max="15884" width="14" style="74" bestFit="1" customWidth="1"/>
    <col min="15885" max="15885" width="10" style="74" bestFit="1" customWidth="1"/>
    <col min="15886" max="15886" width="10.33203125" style="74" bestFit="1" customWidth="1"/>
    <col min="15887" max="15887" width="10" style="74" customWidth="1"/>
    <col min="15888" max="15888" width="12.6640625" style="74" customWidth="1"/>
    <col min="15889" max="15889" width="14.6640625" style="74" customWidth="1"/>
    <col min="15890" max="15890" width="10.109375" style="74" bestFit="1" customWidth="1"/>
    <col min="15891" max="16127" width="9" style="74"/>
    <col min="16128" max="16128" width="4.109375" style="74" customWidth="1"/>
    <col min="16129" max="16129" width="4.33203125" style="74" customWidth="1"/>
    <col min="16130" max="16130" width="13.5546875" style="74" customWidth="1"/>
    <col min="16131" max="16131" width="65" style="74" customWidth="1"/>
    <col min="16132" max="16132" width="6.6640625" style="74" customWidth="1"/>
    <col min="16133" max="16133" width="8.44140625" style="74" customWidth="1"/>
    <col min="16134" max="16134" width="10" style="74" customWidth="1"/>
    <col min="16135" max="16135" width="15.6640625" style="74" customWidth="1"/>
    <col min="16136" max="16136" width="18.109375" style="74" customWidth="1"/>
    <col min="16137" max="16137" width="15.88671875" style="74" customWidth="1"/>
    <col min="16138" max="16138" width="11.44140625" style="74" bestFit="1" customWidth="1"/>
    <col min="16139" max="16139" width="10.6640625" style="74" bestFit="1" customWidth="1"/>
    <col min="16140" max="16140" width="14" style="74" bestFit="1" customWidth="1"/>
    <col min="16141" max="16141" width="10" style="74" bestFit="1" customWidth="1"/>
    <col min="16142" max="16142" width="10.33203125" style="74" bestFit="1" customWidth="1"/>
    <col min="16143" max="16143" width="10" style="74" customWidth="1"/>
    <col min="16144" max="16144" width="12.6640625" style="74" customWidth="1"/>
    <col min="16145" max="16145" width="14.6640625" style="74" customWidth="1"/>
    <col min="16146" max="16146" width="10.109375" style="74" bestFit="1" customWidth="1"/>
    <col min="16147" max="16384" width="9" style="74"/>
  </cols>
  <sheetData>
    <row r="1" spans="1:35" ht="20.25" customHeight="1">
      <c r="A1" s="50" t="s">
        <v>579</v>
      </c>
      <c r="B1" s="3"/>
      <c r="C1" s="3"/>
      <c r="D1" s="3"/>
      <c r="E1" s="3"/>
      <c r="F1" s="3"/>
      <c r="G1" s="3"/>
      <c r="H1" s="3"/>
    </row>
    <row r="2" spans="1:35" s="17" customFormat="1" ht="13.5" customHeight="1">
      <c r="A2" s="448" t="s">
        <v>507</v>
      </c>
      <c r="B2" s="453"/>
      <c r="C2" s="453"/>
      <c r="D2" s="453"/>
      <c r="E2" s="453"/>
      <c r="F2" s="453"/>
      <c r="G2" s="453"/>
      <c r="H2" s="453"/>
      <c r="I2" s="453"/>
      <c r="J2" s="63"/>
    </row>
    <row r="3" spans="1:35" s="17" customFormat="1" ht="13.5" customHeight="1">
      <c r="A3" s="448" t="s">
        <v>93</v>
      </c>
      <c r="B3" s="449"/>
      <c r="C3" s="449"/>
      <c r="D3" s="449"/>
      <c r="E3" s="15"/>
      <c r="F3" s="15"/>
      <c r="G3" s="16"/>
      <c r="H3" s="16"/>
      <c r="I3" s="75"/>
    </row>
    <row r="4" spans="1:35" s="17" customFormat="1" ht="13.5" customHeight="1">
      <c r="A4" s="1" t="s">
        <v>95</v>
      </c>
      <c r="B4" s="2"/>
      <c r="C4" s="15"/>
      <c r="D4" s="15"/>
      <c r="E4" s="15"/>
      <c r="F4" s="15"/>
      <c r="G4" s="16"/>
      <c r="H4" s="16"/>
      <c r="I4" s="75"/>
      <c r="J4" s="64"/>
    </row>
    <row r="5" spans="1:35" s="75" customFormat="1" ht="13.5" customHeight="1">
      <c r="A5" s="26" t="s">
        <v>94</v>
      </c>
      <c r="B5" s="15"/>
      <c r="C5" s="15"/>
      <c r="D5" s="18"/>
      <c r="E5" s="15"/>
      <c r="F5" s="16"/>
      <c r="G5" s="16"/>
      <c r="J5" s="76"/>
      <c r="K5" s="76"/>
      <c r="AG5" s="74"/>
      <c r="AH5" s="74"/>
      <c r="AI5" s="74"/>
    </row>
    <row r="6" spans="1:35" ht="12.75" customHeight="1">
      <c r="A6" s="12"/>
      <c r="B6" s="12"/>
      <c r="C6" s="12"/>
      <c r="D6" s="13"/>
      <c r="E6" s="12"/>
      <c r="F6" s="12"/>
      <c r="G6" s="3"/>
      <c r="H6" s="3"/>
      <c r="J6" s="54"/>
    </row>
    <row r="7" spans="1:35" ht="24.75" customHeight="1">
      <c r="A7" s="14" t="s">
        <v>0</v>
      </c>
      <c r="B7" s="14" t="s">
        <v>1</v>
      </c>
      <c r="C7" s="14" t="s">
        <v>2</v>
      </c>
      <c r="D7" s="14" t="s">
        <v>3</v>
      </c>
      <c r="E7" s="14" t="s">
        <v>4</v>
      </c>
      <c r="F7" s="14" t="s">
        <v>5</v>
      </c>
      <c r="G7" s="14" t="s">
        <v>6</v>
      </c>
      <c r="H7" s="14" t="s">
        <v>7</v>
      </c>
      <c r="I7" s="14" t="s">
        <v>8</v>
      </c>
      <c r="J7" s="77"/>
      <c r="K7" s="78"/>
    </row>
    <row r="8" spans="1:35" ht="12.75" customHeight="1">
      <c r="A8" s="14" t="s">
        <v>9</v>
      </c>
      <c r="B8" s="14" t="s">
        <v>10</v>
      </c>
      <c r="C8" s="14" t="s">
        <v>11</v>
      </c>
      <c r="D8" s="14" t="s">
        <v>12</v>
      </c>
      <c r="E8" s="14" t="s">
        <v>13</v>
      </c>
      <c r="F8" s="14" t="s">
        <v>14</v>
      </c>
      <c r="G8" s="14" t="s">
        <v>15</v>
      </c>
      <c r="H8" s="14">
        <v>8</v>
      </c>
      <c r="I8" s="14">
        <v>9</v>
      </c>
      <c r="J8" s="79"/>
      <c r="K8" s="78"/>
    </row>
    <row r="9" spans="1:35" ht="21" customHeight="1">
      <c r="A9" s="80"/>
      <c r="B9" s="81"/>
      <c r="C9" s="81" t="s">
        <v>16</v>
      </c>
      <c r="D9" s="81" t="s">
        <v>17</v>
      </c>
      <c r="E9" s="81"/>
      <c r="F9" s="82"/>
      <c r="G9" s="83"/>
      <c r="H9" s="83">
        <f>H10+H19+H100+H159</f>
        <v>0</v>
      </c>
      <c r="I9" s="84"/>
      <c r="J9" s="85"/>
      <c r="K9" s="78"/>
    </row>
    <row r="10" spans="1:35" s="95" customFormat="1" ht="13.5" customHeight="1">
      <c r="A10" s="86"/>
      <c r="B10" s="87"/>
      <c r="C10" s="88">
        <v>3</v>
      </c>
      <c r="D10" s="88" t="s">
        <v>123</v>
      </c>
      <c r="E10" s="88"/>
      <c r="F10" s="89"/>
      <c r="G10" s="90"/>
      <c r="H10" s="91">
        <f>SUM(H11:H18)</f>
        <v>0</v>
      </c>
      <c r="I10" s="92"/>
      <c r="J10" s="93"/>
      <c r="K10" s="94"/>
    </row>
    <row r="11" spans="1:35" s="95" customFormat="1" ht="27" customHeight="1">
      <c r="A11" s="42">
        <v>1</v>
      </c>
      <c r="B11" s="39" t="s">
        <v>34</v>
      </c>
      <c r="C11" s="10">
        <v>311272125</v>
      </c>
      <c r="D11" s="10" t="s">
        <v>469</v>
      </c>
      <c r="E11" s="10" t="s">
        <v>20</v>
      </c>
      <c r="F11" s="96">
        <f>SUM(F12:F12)</f>
        <v>0.36224999999999996</v>
      </c>
      <c r="G11" s="459"/>
      <c r="H11" s="48">
        <f>F11*G11</f>
        <v>0</v>
      </c>
      <c r="I11" s="97" t="s">
        <v>254</v>
      </c>
      <c r="J11" s="98"/>
      <c r="K11" s="98"/>
      <c r="L11" s="98"/>
      <c r="M11" s="98"/>
      <c r="N11" s="98"/>
      <c r="O11" s="98"/>
      <c r="P11" s="98"/>
      <c r="Q11" s="98"/>
      <c r="R11" s="98"/>
    </row>
    <row r="12" spans="1:35" s="95" customFormat="1" ht="13.5" customHeight="1">
      <c r="A12" s="42"/>
      <c r="B12" s="10"/>
      <c r="C12" s="36"/>
      <c r="D12" s="36" t="s">
        <v>470</v>
      </c>
      <c r="E12" s="36"/>
      <c r="F12" s="37">
        <f>(0.3*0.5+0.3*0.65)*1.05</f>
        <v>0.36224999999999996</v>
      </c>
      <c r="G12" s="99"/>
      <c r="H12" s="100"/>
      <c r="I12" s="97"/>
      <c r="J12" s="93"/>
    </row>
    <row r="13" spans="1:35" s="95" customFormat="1" ht="27" customHeight="1">
      <c r="A13" s="42"/>
      <c r="B13" s="10"/>
      <c r="C13" s="36"/>
      <c r="D13" s="36" t="s">
        <v>581</v>
      </c>
      <c r="E13" s="36"/>
      <c r="F13" s="37"/>
      <c r="G13" s="99"/>
      <c r="H13" s="100"/>
      <c r="I13" s="97"/>
      <c r="J13" s="93"/>
    </row>
    <row r="14" spans="1:35" s="110" customFormat="1" ht="13.5" customHeight="1">
      <c r="A14" s="101">
        <v>2</v>
      </c>
      <c r="B14" s="102" t="s">
        <v>28</v>
      </c>
      <c r="C14" s="103" t="s">
        <v>162</v>
      </c>
      <c r="D14" s="104" t="s">
        <v>163</v>
      </c>
      <c r="E14" s="105" t="s">
        <v>23</v>
      </c>
      <c r="F14" s="106">
        <f>SUM(F15)</f>
        <v>1</v>
      </c>
      <c r="G14" s="460"/>
      <c r="H14" s="107">
        <f>F14*G14</f>
        <v>0</v>
      </c>
      <c r="I14" s="97" t="s">
        <v>262</v>
      </c>
      <c r="J14" s="108"/>
      <c r="K14" s="109"/>
      <c r="M14" s="109"/>
      <c r="N14" s="109"/>
      <c r="O14" s="109"/>
      <c r="P14" s="109"/>
      <c r="Q14" s="111"/>
      <c r="R14" s="74"/>
      <c r="S14" s="74"/>
      <c r="T14" s="74"/>
      <c r="U14" s="74"/>
      <c r="V14" s="74"/>
      <c r="W14" s="74"/>
      <c r="X14" s="74"/>
      <c r="Y14" s="74"/>
    </row>
    <row r="15" spans="1:35" s="110" customFormat="1" ht="13.5" customHeight="1">
      <c r="A15" s="101"/>
      <c r="B15" s="102"/>
      <c r="C15" s="103"/>
      <c r="D15" s="36" t="s">
        <v>503</v>
      </c>
      <c r="E15" s="105"/>
      <c r="F15" s="112">
        <v>1</v>
      </c>
      <c r="G15" s="106"/>
      <c r="H15" s="107"/>
      <c r="I15" s="113"/>
      <c r="J15" s="114"/>
    </row>
    <row r="16" spans="1:35" s="110" customFormat="1" ht="40.5" customHeight="1">
      <c r="A16" s="101"/>
      <c r="B16" s="102"/>
      <c r="C16" s="103"/>
      <c r="D16" s="36" t="s">
        <v>164</v>
      </c>
      <c r="E16" s="105"/>
      <c r="F16" s="112"/>
      <c r="G16" s="106"/>
      <c r="H16" s="107"/>
      <c r="I16" s="113"/>
    </row>
    <row r="17" spans="1:256" s="110" customFormat="1" ht="13.5" customHeight="1">
      <c r="A17" s="101"/>
      <c r="B17" s="102"/>
      <c r="C17" s="103"/>
      <c r="D17" s="36" t="s">
        <v>165</v>
      </c>
      <c r="E17" s="115"/>
      <c r="F17" s="116"/>
      <c r="G17" s="106"/>
      <c r="H17" s="107"/>
      <c r="I17" s="113"/>
    </row>
    <row r="18" spans="1:256" s="95" customFormat="1" ht="67.5" customHeight="1">
      <c r="A18" s="117"/>
      <c r="B18" s="118"/>
      <c r="C18" s="35"/>
      <c r="D18" s="119" t="s">
        <v>146</v>
      </c>
      <c r="E18" s="36"/>
      <c r="G18" s="47"/>
      <c r="H18" s="48"/>
      <c r="I18" s="38"/>
      <c r="J18" s="111"/>
      <c r="K18" s="109"/>
      <c r="L18" s="110"/>
      <c r="M18" s="109"/>
      <c r="N18" s="109"/>
      <c r="O18" s="109"/>
      <c r="P18" s="109"/>
      <c r="Q18" s="111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  <c r="DV18" s="74"/>
      <c r="DW18" s="74"/>
      <c r="DX18" s="74"/>
      <c r="DY18" s="74"/>
      <c r="DZ18" s="74"/>
      <c r="EA18" s="74"/>
      <c r="EB18" s="74"/>
      <c r="EC18" s="74"/>
      <c r="ED18" s="74"/>
      <c r="EE18" s="74"/>
      <c r="EF18" s="74"/>
      <c r="EG18" s="74"/>
      <c r="EH18" s="74"/>
      <c r="EI18" s="74"/>
      <c r="EJ18" s="74"/>
      <c r="EK18" s="74"/>
      <c r="EL18" s="74"/>
      <c r="EM18" s="74"/>
      <c r="EN18" s="74"/>
      <c r="EO18" s="74"/>
      <c r="EP18" s="74"/>
      <c r="EQ18" s="74"/>
      <c r="ER18" s="74"/>
      <c r="ES18" s="74"/>
      <c r="ET18" s="74"/>
      <c r="EU18" s="74"/>
      <c r="EV18" s="74"/>
      <c r="EW18" s="74"/>
      <c r="EX18" s="74"/>
      <c r="EY18" s="74"/>
      <c r="EZ18" s="74"/>
      <c r="FA18" s="74"/>
      <c r="FB18" s="74"/>
      <c r="FC18" s="74"/>
      <c r="FD18" s="74"/>
      <c r="FE18" s="74"/>
      <c r="FF18" s="74"/>
      <c r="FG18" s="74"/>
      <c r="FH18" s="74"/>
      <c r="FI18" s="74"/>
      <c r="FJ18" s="74"/>
      <c r="FK18" s="74"/>
      <c r="FL18" s="74"/>
      <c r="FM18" s="74"/>
      <c r="FN18" s="74"/>
      <c r="FO18" s="74"/>
      <c r="FP18" s="74"/>
      <c r="FQ18" s="74"/>
      <c r="FR18" s="74"/>
      <c r="FS18" s="74"/>
      <c r="FT18" s="74"/>
      <c r="FU18" s="74"/>
      <c r="FV18" s="74"/>
      <c r="FW18" s="74"/>
      <c r="FX18" s="74"/>
      <c r="FY18" s="74"/>
      <c r="FZ18" s="74"/>
      <c r="GA18" s="74"/>
      <c r="GB18" s="74"/>
      <c r="GC18" s="74"/>
      <c r="GD18" s="74"/>
      <c r="GE18" s="74"/>
      <c r="GF18" s="74"/>
      <c r="GG18" s="74"/>
      <c r="GH18" s="74"/>
      <c r="GI18" s="74"/>
      <c r="GJ18" s="74"/>
      <c r="GK18" s="74"/>
      <c r="GL18" s="74"/>
      <c r="GM18" s="74"/>
      <c r="GN18" s="74"/>
      <c r="GO18" s="74"/>
      <c r="GP18" s="74"/>
      <c r="GQ18" s="74"/>
      <c r="GR18" s="74"/>
      <c r="GS18" s="74"/>
      <c r="GT18" s="74"/>
      <c r="GU18" s="74"/>
      <c r="GV18" s="74"/>
      <c r="GW18" s="74"/>
      <c r="GX18" s="74"/>
      <c r="GY18" s="74"/>
      <c r="GZ18" s="74"/>
      <c r="HA18" s="74"/>
      <c r="HB18" s="74"/>
      <c r="HC18" s="74"/>
      <c r="HD18" s="74"/>
      <c r="HE18" s="74"/>
      <c r="HF18" s="74"/>
      <c r="HG18" s="74"/>
      <c r="HH18" s="74"/>
      <c r="HI18" s="74"/>
      <c r="HJ18" s="74"/>
      <c r="HK18" s="74"/>
      <c r="HL18" s="74"/>
      <c r="HM18" s="74"/>
      <c r="HN18" s="74"/>
      <c r="HO18" s="74"/>
      <c r="HP18" s="74"/>
      <c r="HQ18" s="74"/>
      <c r="HR18" s="74"/>
      <c r="HS18" s="74"/>
      <c r="HT18" s="74"/>
      <c r="HU18" s="74"/>
      <c r="HV18" s="74"/>
      <c r="HW18" s="74"/>
      <c r="HX18" s="74"/>
      <c r="HY18" s="74"/>
      <c r="HZ18" s="74"/>
      <c r="IA18" s="74"/>
      <c r="IB18" s="74"/>
      <c r="IC18" s="74"/>
      <c r="ID18" s="74"/>
      <c r="IE18" s="74"/>
      <c r="IF18" s="74"/>
      <c r="IG18" s="74"/>
      <c r="IH18" s="74"/>
      <c r="II18" s="74"/>
      <c r="IJ18" s="74"/>
      <c r="IK18" s="74"/>
      <c r="IL18" s="74"/>
      <c r="IM18" s="74"/>
      <c r="IN18" s="74"/>
      <c r="IO18" s="74"/>
      <c r="IP18" s="74"/>
      <c r="IQ18" s="74"/>
      <c r="IR18" s="74"/>
      <c r="IS18" s="74"/>
      <c r="IT18" s="74"/>
      <c r="IU18" s="74"/>
      <c r="IV18" s="74"/>
    </row>
    <row r="19" spans="1:256" s="95" customFormat="1" ht="13.5" customHeight="1">
      <c r="A19" s="120"/>
      <c r="B19" s="87"/>
      <c r="C19" s="121" t="s">
        <v>14</v>
      </c>
      <c r="D19" s="121" t="s">
        <v>25</v>
      </c>
      <c r="E19" s="121"/>
      <c r="F19" s="122"/>
      <c r="G19" s="123"/>
      <c r="H19" s="123">
        <f>SUM(H20:H99)</f>
        <v>0</v>
      </c>
      <c r="I19" s="38"/>
      <c r="L19" s="109"/>
    </row>
    <row r="20" spans="1:256" s="95" customFormat="1" ht="13.5" customHeight="1">
      <c r="A20" s="42">
        <v>3</v>
      </c>
      <c r="B20" s="39" t="s">
        <v>75</v>
      </c>
      <c r="C20" s="10">
        <v>611325422</v>
      </c>
      <c r="D20" s="10" t="s">
        <v>402</v>
      </c>
      <c r="E20" s="10" t="s">
        <v>20</v>
      </c>
      <c r="F20" s="124">
        <f>SUM(F22:F27)</f>
        <v>403.97999999999996</v>
      </c>
      <c r="G20" s="459"/>
      <c r="H20" s="48">
        <f>F20*G20</f>
        <v>0</v>
      </c>
      <c r="I20" s="97" t="s">
        <v>254</v>
      </c>
      <c r="J20" s="125"/>
      <c r="K20" s="126"/>
    </row>
    <row r="21" spans="1:256" s="95" customFormat="1" ht="13.5" customHeight="1">
      <c r="A21" s="127"/>
      <c r="B21" s="121"/>
      <c r="C21" s="121"/>
      <c r="D21" s="36" t="s">
        <v>215</v>
      </c>
      <c r="E21" s="10"/>
      <c r="F21" s="37"/>
      <c r="G21" s="123"/>
      <c r="H21" s="123"/>
      <c r="I21" s="128"/>
      <c r="J21" s="129"/>
      <c r="N21" s="74"/>
    </row>
    <row r="22" spans="1:256" s="95" customFormat="1" ht="27" customHeight="1">
      <c r="A22" s="130"/>
      <c r="B22" s="87"/>
      <c r="C22" s="121"/>
      <c r="D22" s="131" t="s">
        <v>220</v>
      </c>
      <c r="E22" s="121"/>
      <c r="F22" s="116">
        <f>11.13+24.81+33.26+22.82+11.82+16.25+16.92+15.59+15.74</f>
        <v>168.34</v>
      </c>
      <c r="G22" s="123"/>
      <c r="H22" s="123"/>
      <c r="I22" s="38"/>
      <c r="J22" s="132"/>
    </row>
    <row r="23" spans="1:256" s="95" customFormat="1" ht="27" customHeight="1">
      <c r="A23" s="130"/>
      <c r="B23" s="87"/>
      <c r="C23" s="121"/>
      <c r="D23" s="131" t="s">
        <v>221</v>
      </c>
      <c r="E23" s="121"/>
      <c r="F23" s="116">
        <f>17.72+14.36+14.61+15.53+16.28+16.51+15.54+15.57+17.22+19.21</f>
        <v>162.55000000000001</v>
      </c>
      <c r="G23" s="123"/>
      <c r="H23" s="123"/>
      <c r="I23" s="38"/>
      <c r="J23" s="132"/>
      <c r="K23" s="133"/>
      <c r="L23" s="133"/>
      <c r="M23" s="133"/>
      <c r="N23" s="133"/>
      <c r="O23" s="133"/>
      <c r="P23" s="133"/>
    </row>
    <row r="24" spans="1:256" s="95" customFormat="1" ht="13.5" customHeight="1">
      <c r="A24" s="130"/>
      <c r="B24" s="87"/>
      <c r="C24" s="121"/>
      <c r="D24" s="131" t="s">
        <v>222</v>
      </c>
      <c r="E24" s="121"/>
      <c r="F24" s="116">
        <f>61.08</f>
        <v>61.08</v>
      </c>
      <c r="G24" s="123"/>
      <c r="H24" s="123"/>
      <c r="I24" s="134"/>
      <c r="J24" s="132"/>
    </row>
    <row r="25" spans="1:256" s="95" customFormat="1" ht="13.5" customHeight="1">
      <c r="A25" s="130"/>
      <c r="B25" s="87"/>
      <c r="C25" s="121"/>
      <c r="D25" s="131" t="s">
        <v>403</v>
      </c>
      <c r="E25" s="121"/>
      <c r="F25" s="116">
        <f>3.74</f>
        <v>3.74</v>
      </c>
      <c r="G25" s="123"/>
      <c r="H25" s="123"/>
      <c r="I25" s="38"/>
    </row>
    <row r="26" spans="1:256" s="95" customFormat="1" ht="13.5" customHeight="1">
      <c r="A26" s="130"/>
      <c r="B26" s="87"/>
      <c r="C26" s="121"/>
      <c r="D26" s="131" t="s">
        <v>404</v>
      </c>
      <c r="E26" s="121"/>
      <c r="F26" s="116">
        <f>1.2</f>
        <v>1.2</v>
      </c>
      <c r="G26" s="123"/>
      <c r="H26" s="123"/>
      <c r="I26" s="38"/>
    </row>
    <row r="27" spans="1:256" s="95" customFormat="1" ht="13.5" customHeight="1">
      <c r="A27" s="120"/>
      <c r="B27" s="87"/>
      <c r="C27" s="121"/>
      <c r="D27" s="131" t="s">
        <v>219</v>
      </c>
      <c r="E27" s="121"/>
      <c r="F27" s="135">
        <f>(34.7+36)*0.1</f>
        <v>7.07</v>
      </c>
      <c r="G27" s="123"/>
      <c r="H27" s="123"/>
      <c r="I27" s="38"/>
      <c r="J27" s="136"/>
    </row>
    <row r="28" spans="1:256" s="139" customFormat="1" ht="13.5" customHeight="1">
      <c r="A28" s="42"/>
      <c r="B28" s="39"/>
      <c r="C28" s="10"/>
      <c r="D28" s="36" t="s">
        <v>122</v>
      </c>
      <c r="E28" s="10"/>
      <c r="F28" s="37"/>
      <c r="G28" s="48"/>
      <c r="H28" s="48"/>
      <c r="I28" s="137"/>
      <c r="J28" s="138"/>
      <c r="K28" s="136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  <c r="GL28" s="95"/>
      <c r="GM28" s="95"/>
      <c r="GN28" s="95"/>
      <c r="GO28" s="95"/>
      <c r="GP28" s="95"/>
      <c r="GQ28" s="95"/>
      <c r="GR28" s="95"/>
      <c r="GS28" s="95"/>
      <c r="GT28" s="95"/>
      <c r="GU28" s="95"/>
      <c r="GV28" s="95"/>
      <c r="GW28" s="95"/>
      <c r="GX28" s="95"/>
      <c r="GY28" s="95"/>
      <c r="GZ28" s="95"/>
      <c r="HA28" s="95"/>
      <c r="HB28" s="95"/>
      <c r="HC28" s="95"/>
      <c r="HD28" s="95"/>
      <c r="HE28" s="95"/>
      <c r="HF28" s="95"/>
      <c r="HG28" s="95"/>
      <c r="HH28" s="95"/>
      <c r="HI28" s="95"/>
      <c r="HJ28" s="95"/>
      <c r="HK28" s="95"/>
      <c r="HL28" s="95"/>
      <c r="HM28" s="95"/>
      <c r="HN28" s="95"/>
      <c r="HO28" s="95"/>
      <c r="HP28" s="95"/>
      <c r="HQ28" s="95"/>
      <c r="HR28" s="95"/>
      <c r="HS28" s="95"/>
      <c r="HT28" s="95"/>
      <c r="HU28" s="95"/>
      <c r="HV28" s="95"/>
      <c r="HW28" s="95"/>
      <c r="HX28" s="95"/>
      <c r="HY28" s="95"/>
      <c r="HZ28" s="95"/>
      <c r="IA28" s="95"/>
      <c r="IB28" s="95"/>
      <c r="IC28" s="95"/>
      <c r="ID28" s="95"/>
      <c r="IE28" s="95"/>
      <c r="IF28" s="95"/>
      <c r="IG28" s="95"/>
      <c r="IH28" s="95"/>
      <c r="II28" s="95"/>
      <c r="IJ28" s="95"/>
      <c r="IK28" s="95"/>
      <c r="IL28" s="95"/>
      <c r="IM28" s="95"/>
      <c r="IN28" s="95"/>
      <c r="IO28" s="95"/>
      <c r="IP28" s="95"/>
      <c r="IQ28" s="95"/>
      <c r="IR28" s="95"/>
      <c r="IS28" s="95"/>
      <c r="IT28" s="95"/>
      <c r="IU28" s="95"/>
      <c r="IV28" s="95"/>
    </row>
    <row r="29" spans="1:256" s="139" customFormat="1" ht="13.5" customHeight="1">
      <c r="A29" s="42"/>
      <c r="B29" s="39"/>
      <c r="C29" s="10"/>
      <c r="D29" s="36" t="s">
        <v>231</v>
      </c>
      <c r="E29" s="10"/>
      <c r="F29" s="37"/>
      <c r="G29" s="48"/>
      <c r="H29" s="48"/>
      <c r="I29" s="137"/>
      <c r="J29" s="138"/>
      <c r="K29" s="136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  <c r="GT29" s="95"/>
      <c r="GU29" s="95"/>
      <c r="GV29" s="95"/>
      <c r="GW29" s="95"/>
      <c r="GX29" s="95"/>
      <c r="GY29" s="95"/>
      <c r="GZ29" s="95"/>
      <c r="HA29" s="95"/>
      <c r="HB29" s="95"/>
      <c r="HC29" s="95"/>
      <c r="HD29" s="95"/>
      <c r="HE29" s="95"/>
      <c r="HF29" s="95"/>
      <c r="HG29" s="95"/>
      <c r="HH29" s="95"/>
      <c r="HI29" s="95"/>
      <c r="HJ29" s="95"/>
      <c r="HK29" s="95"/>
      <c r="HL29" s="95"/>
      <c r="HM29" s="95"/>
      <c r="HN29" s="95"/>
      <c r="HO29" s="95"/>
      <c r="HP29" s="95"/>
      <c r="HQ29" s="95"/>
      <c r="HR29" s="95"/>
      <c r="HS29" s="95"/>
      <c r="HT29" s="95"/>
      <c r="HU29" s="95"/>
      <c r="HV29" s="95"/>
      <c r="HW29" s="95"/>
      <c r="HX29" s="95"/>
      <c r="HY29" s="95"/>
      <c r="HZ29" s="95"/>
      <c r="IA29" s="95"/>
      <c r="IB29" s="95"/>
      <c r="IC29" s="95"/>
      <c r="ID29" s="95"/>
      <c r="IE29" s="95"/>
      <c r="IF29" s="95"/>
      <c r="IG29" s="95"/>
      <c r="IH29" s="95"/>
      <c r="II29" s="95"/>
      <c r="IJ29" s="95"/>
      <c r="IK29" s="95"/>
      <c r="IL29" s="95"/>
      <c r="IM29" s="95"/>
      <c r="IN29" s="95"/>
      <c r="IO29" s="95"/>
      <c r="IP29" s="95"/>
      <c r="IQ29" s="95"/>
      <c r="IR29" s="95"/>
      <c r="IS29" s="95"/>
      <c r="IT29" s="95"/>
      <c r="IU29" s="95"/>
      <c r="IV29" s="95"/>
    </row>
    <row r="30" spans="1:256" s="95" customFormat="1" ht="27" customHeight="1">
      <c r="A30" s="42">
        <v>4</v>
      </c>
      <c r="B30" s="39" t="s">
        <v>75</v>
      </c>
      <c r="C30" s="10">
        <v>611325452</v>
      </c>
      <c r="D30" s="10" t="s">
        <v>405</v>
      </c>
      <c r="E30" s="10" t="s">
        <v>20</v>
      </c>
      <c r="F30" s="124">
        <f>SUM(F32:F37)</f>
        <v>403.97999999999996</v>
      </c>
      <c r="G30" s="459"/>
      <c r="H30" s="48">
        <f>F30*G30</f>
        <v>0</v>
      </c>
      <c r="I30" s="97" t="s">
        <v>254</v>
      </c>
      <c r="J30" s="125"/>
      <c r="K30" s="126"/>
    </row>
    <row r="31" spans="1:256" s="95" customFormat="1" ht="13.5" customHeight="1">
      <c r="A31" s="127"/>
      <c r="B31" s="121"/>
      <c r="C31" s="121"/>
      <c r="D31" s="36" t="s">
        <v>411</v>
      </c>
      <c r="E31" s="10"/>
      <c r="F31" s="37"/>
      <c r="G31" s="123"/>
      <c r="H31" s="123"/>
      <c r="I31" s="128"/>
      <c r="J31" s="94"/>
      <c r="N31" s="74"/>
    </row>
    <row r="32" spans="1:256" s="95" customFormat="1" ht="27" customHeight="1">
      <c r="A32" s="130"/>
      <c r="B32" s="87"/>
      <c r="C32" s="121"/>
      <c r="D32" s="131" t="s">
        <v>220</v>
      </c>
      <c r="E32" s="121"/>
      <c r="F32" s="116">
        <f>11.13+24.81+33.26+22.82+11.82+16.25+16.92+15.59+15.74</f>
        <v>168.34</v>
      </c>
      <c r="G32" s="123"/>
      <c r="H32" s="123"/>
      <c r="I32" s="38"/>
      <c r="J32" s="136"/>
    </row>
    <row r="33" spans="1:256" s="95" customFormat="1" ht="27" customHeight="1">
      <c r="A33" s="127"/>
      <c r="B33" s="121"/>
      <c r="C33" s="121"/>
      <c r="D33" s="131" t="s">
        <v>221</v>
      </c>
      <c r="E33" s="121"/>
      <c r="F33" s="116">
        <f>17.72+14.36+14.61+15.53+16.28+16.51+15.54+15.57+17.22+19.21</f>
        <v>162.55000000000001</v>
      </c>
      <c r="G33" s="123"/>
      <c r="H33" s="123"/>
      <c r="I33" s="128"/>
      <c r="J33" s="140"/>
      <c r="N33" s="74"/>
    </row>
    <row r="34" spans="1:256" s="95" customFormat="1" ht="13.5" customHeight="1">
      <c r="A34" s="120"/>
      <c r="B34" s="87"/>
      <c r="C34" s="121"/>
      <c r="D34" s="131" t="s">
        <v>222</v>
      </c>
      <c r="E34" s="121"/>
      <c r="F34" s="116">
        <f>61.08</f>
        <v>61.08</v>
      </c>
      <c r="G34" s="123"/>
      <c r="H34" s="123"/>
      <c r="I34" s="38"/>
      <c r="J34" s="136"/>
    </row>
    <row r="35" spans="1:256" s="95" customFormat="1" ht="13.5" customHeight="1">
      <c r="A35" s="130"/>
      <c r="B35" s="87"/>
      <c r="C35" s="121"/>
      <c r="D35" s="131" t="s">
        <v>403</v>
      </c>
      <c r="E35" s="121"/>
      <c r="F35" s="116">
        <f>3.74</f>
        <v>3.74</v>
      </c>
      <c r="G35" s="123"/>
      <c r="H35" s="123"/>
      <c r="I35" s="38"/>
    </row>
    <row r="36" spans="1:256" s="95" customFormat="1" ht="13.5" customHeight="1">
      <c r="A36" s="130"/>
      <c r="B36" s="87"/>
      <c r="C36" s="121"/>
      <c r="D36" s="131" t="s">
        <v>404</v>
      </c>
      <c r="E36" s="121"/>
      <c r="F36" s="116">
        <f>1.2</f>
        <v>1.2</v>
      </c>
      <c r="G36" s="123"/>
      <c r="H36" s="123"/>
      <c r="I36" s="38"/>
    </row>
    <row r="37" spans="1:256" s="95" customFormat="1" ht="13.5" customHeight="1">
      <c r="A37" s="120"/>
      <c r="B37" s="87"/>
      <c r="C37" s="121"/>
      <c r="D37" s="131" t="s">
        <v>219</v>
      </c>
      <c r="E37" s="121"/>
      <c r="F37" s="135">
        <f>(34.7+36)*0.1</f>
        <v>7.07</v>
      </c>
      <c r="G37" s="123"/>
      <c r="H37" s="123"/>
      <c r="I37" s="38"/>
      <c r="J37" s="136"/>
    </row>
    <row r="38" spans="1:256" s="139" customFormat="1" ht="13.5" customHeight="1">
      <c r="A38" s="42"/>
      <c r="B38" s="39"/>
      <c r="C38" s="10"/>
      <c r="D38" s="36" t="s">
        <v>231</v>
      </c>
      <c r="E38" s="10"/>
      <c r="F38" s="37"/>
      <c r="G38" s="48"/>
      <c r="H38" s="48"/>
      <c r="I38" s="137"/>
      <c r="J38" s="138"/>
      <c r="K38" s="136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  <c r="IK38" s="95"/>
      <c r="IL38" s="95"/>
      <c r="IM38" s="95"/>
      <c r="IN38" s="95"/>
      <c r="IO38" s="95"/>
      <c r="IP38" s="95"/>
      <c r="IQ38" s="95"/>
      <c r="IR38" s="95"/>
      <c r="IS38" s="95"/>
      <c r="IT38" s="95"/>
      <c r="IU38" s="95"/>
      <c r="IV38" s="95"/>
    </row>
    <row r="39" spans="1:256" s="95" customFormat="1" ht="27" customHeight="1">
      <c r="A39" s="42">
        <v>5</v>
      </c>
      <c r="B39" s="39" t="s">
        <v>75</v>
      </c>
      <c r="C39" s="10" t="s">
        <v>151</v>
      </c>
      <c r="D39" s="10" t="s">
        <v>414</v>
      </c>
      <c r="E39" s="10" t="s">
        <v>20</v>
      </c>
      <c r="F39" s="124">
        <f>SUM(F41:F41)</f>
        <v>25.594000000000001</v>
      </c>
      <c r="G39" s="459"/>
      <c r="H39" s="48">
        <f>F39*G39</f>
        <v>0</v>
      </c>
      <c r="I39" s="97" t="s">
        <v>262</v>
      </c>
      <c r="J39" s="141"/>
      <c r="K39" s="142"/>
      <c r="L39" s="143"/>
      <c r="M39" s="143"/>
      <c r="N39" s="143"/>
      <c r="O39" s="142"/>
    </row>
    <row r="40" spans="1:256" s="95" customFormat="1" ht="27" customHeight="1">
      <c r="A40" s="127"/>
      <c r="B40" s="121"/>
      <c r="C40" s="121"/>
      <c r="D40" s="36" t="s">
        <v>152</v>
      </c>
      <c r="E40" s="10"/>
      <c r="F40" s="37"/>
      <c r="G40" s="123"/>
      <c r="H40" s="123"/>
      <c r="I40" s="128"/>
      <c r="J40" s="129"/>
      <c r="N40" s="74"/>
    </row>
    <row r="41" spans="1:256" s="95" customFormat="1" ht="13.5" customHeight="1">
      <c r="A41" s="127"/>
      <c r="B41" s="121"/>
      <c r="C41" s="121"/>
      <c r="D41" s="131" t="s">
        <v>406</v>
      </c>
      <c r="E41" s="10"/>
      <c r="F41" s="37">
        <f>25.594</f>
        <v>25.594000000000001</v>
      </c>
      <c r="G41" s="123"/>
      <c r="H41" s="123"/>
      <c r="I41" s="128"/>
      <c r="J41" s="140"/>
      <c r="N41" s="74"/>
    </row>
    <row r="42" spans="1:256" s="139" customFormat="1" ht="13.5" customHeight="1">
      <c r="A42" s="42"/>
      <c r="B42" s="39"/>
      <c r="C42" s="10"/>
      <c r="D42" s="36" t="s">
        <v>122</v>
      </c>
      <c r="E42" s="10"/>
      <c r="F42" s="37"/>
      <c r="G42" s="48"/>
      <c r="H42" s="48"/>
      <c r="I42" s="137"/>
      <c r="J42" s="138"/>
      <c r="K42" s="136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  <c r="IK42" s="95"/>
      <c r="IL42" s="95"/>
      <c r="IM42" s="95"/>
      <c r="IN42" s="95"/>
      <c r="IO42" s="95"/>
      <c r="IP42" s="95"/>
      <c r="IQ42" s="95"/>
      <c r="IR42" s="95"/>
      <c r="IS42" s="95"/>
      <c r="IT42" s="95"/>
      <c r="IU42" s="95"/>
      <c r="IV42" s="95"/>
    </row>
    <row r="43" spans="1:256" s="139" customFormat="1" ht="40.5" customHeight="1">
      <c r="A43" s="42"/>
      <c r="B43" s="39"/>
      <c r="C43" s="10"/>
      <c r="D43" s="36" t="s">
        <v>176</v>
      </c>
      <c r="E43" s="10"/>
      <c r="F43" s="37"/>
      <c r="G43" s="48"/>
      <c r="H43" s="48"/>
      <c r="I43" s="134"/>
      <c r="J43" s="144"/>
      <c r="K43" s="136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  <c r="IK43" s="95"/>
      <c r="IL43" s="95"/>
      <c r="IM43" s="95"/>
      <c r="IN43" s="95"/>
      <c r="IO43" s="95"/>
      <c r="IP43" s="95"/>
      <c r="IQ43" s="95"/>
      <c r="IR43" s="95"/>
      <c r="IS43" s="95"/>
      <c r="IT43" s="95"/>
      <c r="IU43" s="95"/>
      <c r="IV43" s="95"/>
    </row>
    <row r="44" spans="1:256" s="139" customFormat="1" ht="13.5" customHeight="1">
      <c r="A44" s="145">
        <v>6</v>
      </c>
      <c r="B44" s="39" t="s">
        <v>75</v>
      </c>
      <c r="C44" s="10">
        <v>612135101</v>
      </c>
      <c r="D44" s="10" t="s">
        <v>471</v>
      </c>
      <c r="E44" s="10" t="s">
        <v>20</v>
      </c>
      <c r="F44" s="96">
        <f>SUM(F46:F47)</f>
        <v>3.8050000000000002</v>
      </c>
      <c r="G44" s="461"/>
      <c r="H44" s="146">
        <f>F44*G44</f>
        <v>0</v>
      </c>
      <c r="I44" s="97" t="s">
        <v>254</v>
      </c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  <c r="DC44" s="95"/>
      <c r="DD44" s="95"/>
      <c r="DE44" s="95"/>
      <c r="DF44" s="95"/>
      <c r="DG44" s="95"/>
      <c r="DH44" s="95"/>
      <c r="DI44" s="95"/>
      <c r="DJ44" s="95"/>
      <c r="DK44" s="95"/>
      <c r="DL44" s="95"/>
      <c r="DM44" s="95"/>
      <c r="DN44" s="95"/>
      <c r="DO44" s="95"/>
      <c r="DP44" s="95"/>
      <c r="DQ44" s="95"/>
      <c r="DR44" s="95"/>
      <c r="DS44" s="95"/>
      <c r="DT44" s="95"/>
      <c r="DU44" s="95"/>
      <c r="DV44" s="95"/>
      <c r="DW44" s="95"/>
      <c r="DX44" s="95"/>
      <c r="DY44" s="95"/>
      <c r="DZ44" s="95"/>
      <c r="EA44" s="95"/>
      <c r="EB44" s="95"/>
      <c r="EC44" s="95"/>
      <c r="ED44" s="95"/>
      <c r="EE44" s="95"/>
      <c r="EF44" s="95"/>
      <c r="EG44" s="95"/>
      <c r="EH44" s="95"/>
      <c r="EI44" s="95"/>
      <c r="EJ44" s="95"/>
      <c r="EK44" s="95"/>
      <c r="EL44" s="95"/>
      <c r="EM44" s="95"/>
      <c r="EN44" s="95"/>
      <c r="EO44" s="95"/>
      <c r="EP44" s="95"/>
      <c r="EQ44" s="95"/>
      <c r="ER44" s="95"/>
      <c r="ES44" s="95"/>
      <c r="ET44" s="95"/>
      <c r="EU44" s="95"/>
      <c r="EV44" s="95"/>
      <c r="EW44" s="95"/>
      <c r="EX44" s="95"/>
      <c r="EY44" s="95"/>
      <c r="EZ44" s="95"/>
      <c r="FA44" s="95"/>
      <c r="FB44" s="95"/>
      <c r="FC44" s="95"/>
      <c r="FD44" s="95"/>
      <c r="FE44" s="95"/>
      <c r="FF44" s="95"/>
      <c r="FG44" s="95"/>
      <c r="FH44" s="95"/>
      <c r="FI44" s="95"/>
      <c r="FJ44" s="95"/>
      <c r="FK44" s="95"/>
      <c r="FL44" s="95"/>
      <c r="FM44" s="95"/>
      <c r="FN44" s="95"/>
      <c r="FO44" s="95"/>
      <c r="FP44" s="95"/>
      <c r="FQ44" s="95"/>
      <c r="FR44" s="95"/>
      <c r="FS44" s="95"/>
      <c r="FT44" s="95"/>
      <c r="FU44" s="95"/>
      <c r="FV44" s="95"/>
      <c r="FW44" s="95"/>
      <c r="FX44" s="95"/>
      <c r="FY44" s="95"/>
      <c r="FZ44" s="95"/>
      <c r="GA44" s="95"/>
      <c r="GB44" s="95"/>
      <c r="GC44" s="95"/>
      <c r="GD44" s="95"/>
      <c r="GE44" s="95"/>
      <c r="GF44" s="95"/>
      <c r="GG44" s="95"/>
      <c r="GH44" s="95"/>
      <c r="GI44" s="95"/>
      <c r="GJ44" s="95"/>
      <c r="GK44" s="95"/>
      <c r="GL44" s="95"/>
      <c r="GM44" s="95"/>
      <c r="GN44" s="95"/>
      <c r="GO44" s="95"/>
      <c r="GP44" s="95"/>
      <c r="GQ44" s="95"/>
      <c r="GR44" s="95"/>
      <c r="GS44" s="95"/>
      <c r="GT44" s="95"/>
      <c r="GU44" s="95"/>
      <c r="GV44" s="95"/>
      <c r="GW44" s="95"/>
      <c r="GX44" s="95"/>
      <c r="GY44" s="95"/>
      <c r="GZ44" s="95"/>
      <c r="HA44" s="95"/>
      <c r="HB44" s="95"/>
      <c r="HC44" s="95"/>
      <c r="HD44" s="95"/>
      <c r="HE44" s="95"/>
      <c r="HF44" s="95"/>
      <c r="HG44" s="95"/>
      <c r="HH44" s="95"/>
      <c r="HI44" s="95"/>
      <c r="HJ44" s="95"/>
      <c r="HK44" s="95"/>
      <c r="HL44" s="95"/>
      <c r="HM44" s="95"/>
      <c r="HN44" s="95"/>
      <c r="HO44" s="95"/>
      <c r="HP44" s="95"/>
      <c r="HQ44" s="95"/>
      <c r="HR44" s="95"/>
      <c r="HS44" s="95"/>
      <c r="HT44" s="95"/>
      <c r="HU44" s="95"/>
      <c r="HV44" s="95"/>
      <c r="HW44" s="95"/>
      <c r="HX44" s="95"/>
      <c r="HY44" s="95"/>
      <c r="HZ44" s="95"/>
      <c r="IA44" s="95"/>
      <c r="IB44" s="95"/>
      <c r="IC44" s="95"/>
      <c r="ID44" s="95"/>
      <c r="IE44" s="95"/>
      <c r="IF44" s="95"/>
      <c r="IG44" s="95"/>
      <c r="IH44" s="95"/>
      <c r="II44" s="95"/>
      <c r="IJ44" s="95"/>
      <c r="IK44" s="95"/>
      <c r="IL44" s="95"/>
      <c r="IM44" s="95"/>
      <c r="IN44" s="95"/>
      <c r="IO44" s="95"/>
      <c r="IP44" s="95"/>
      <c r="IQ44" s="95"/>
      <c r="IR44" s="95"/>
      <c r="IS44" s="95"/>
      <c r="IT44" s="95"/>
      <c r="IU44" s="95"/>
      <c r="IV44" s="95"/>
    </row>
    <row r="45" spans="1:256" s="139" customFormat="1" ht="13.5" customHeight="1">
      <c r="A45" s="145"/>
      <c r="B45" s="39"/>
      <c r="C45" s="10"/>
      <c r="D45" s="36" t="s">
        <v>472</v>
      </c>
      <c r="E45" s="10"/>
      <c r="F45" s="10"/>
      <c r="G45" s="146"/>
      <c r="H45" s="146"/>
      <c r="I45" s="137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  <c r="BX45" s="95"/>
      <c r="BY45" s="95"/>
      <c r="BZ45" s="95"/>
      <c r="CA45" s="95"/>
      <c r="CB45" s="95"/>
      <c r="CC45" s="95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  <c r="CR45" s="95"/>
      <c r="CS45" s="95"/>
      <c r="CT45" s="95"/>
      <c r="CU45" s="95"/>
      <c r="CV45" s="95"/>
      <c r="CW45" s="95"/>
      <c r="CX45" s="95"/>
      <c r="CY45" s="95"/>
      <c r="CZ45" s="95"/>
      <c r="DA45" s="95"/>
      <c r="DB45" s="95"/>
      <c r="DC45" s="95"/>
      <c r="DD45" s="95"/>
      <c r="DE45" s="95"/>
      <c r="DF45" s="95"/>
      <c r="DG45" s="95"/>
      <c r="DH45" s="95"/>
      <c r="DI45" s="95"/>
      <c r="DJ45" s="95"/>
      <c r="DK45" s="95"/>
      <c r="DL45" s="95"/>
      <c r="DM45" s="95"/>
      <c r="DN45" s="95"/>
      <c r="DO45" s="95"/>
      <c r="DP45" s="95"/>
      <c r="DQ45" s="95"/>
      <c r="DR45" s="95"/>
      <c r="DS45" s="95"/>
      <c r="DT45" s="95"/>
      <c r="DU45" s="95"/>
      <c r="DV45" s="95"/>
      <c r="DW45" s="95"/>
      <c r="DX45" s="95"/>
      <c r="DY45" s="95"/>
      <c r="DZ45" s="95"/>
      <c r="EA45" s="95"/>
      <c r="EB45" s="95"/>
      <c r="EC45" s="95"/>
      <c r="ED45" s="95"/>
      <c r="EE45" s="95"/>
      <c r="EF45" s="95"/>
      <c r="EG45" s="95"/>
      <c r="EH45" s="95"/>
      <c r="EI45" s="95"/>
      <c r="EJ45" s="95"/>
      <c r="EK45" s="95"/>
      <c r="EL45" s="95"/>
      <c r="EM45" s="95"/>
      <c r="EN45" s="95"/>
      <c r="EO45" s="95"/>
      <c r="EP45" s="95"/>
      <c r="EQ45" s="95"/>
      <c r="ER45" s="95"/>
      <c r="ES45" s="95"/>
      <c r="ET45" s="95"/>
      <c r="EU45" s="95"/>
      <c r="EV45" s="95"/>
      <c r="EW45" s="95"/>
      <c r="EX45" s="95"/>
      <c r="EY45" s="95"/>
      <c r="EZ45" s="95"/>
      <c r="FA45" s="95"/>
      <c r="FB45" s="95"/>
      <c r="FC45" s="95"/>
      <c r="FD45" s="95"/>
      <c r="FE45" s="95"/>
      <c r="FF45" s="95"/>
      <c r="FG45" s="95"/>
      <c r="FH45" s="95"/>
      <c r="FI45" s="95"/>
      <c r="FJ45" s="95"/>
      <c r="FK45" s="95"/>
      <c r="FL45" s="95"/>
      <c r="FM45" s="95"/>
      <c r="FN45" s="95"/>
      <c r="FO45" s="95"/>
      <c r="FP45" s="95"/>
      <c r="FQ45" s="95"/>
      <c r="FR45" s="95"/>
      <c r="FS45" s="95"/>
      <c r="FT45" s="95"/>
      <c r="FU45" s="95"/>
      <c r="FV45" s="95"/>
      <c r="FW45" s="95"/>
      <c r="FX45" s="95"/>
      <c r="FY45" s="95"/>
      <c r="FZ45" s="95"/>
      <c r="GA45" s="95"/>
      <c r="GB45" s="95"/>
      <c r="GC45" s="95"/>
      <c r="GD45" s="95"/>
      <c r="GE45" s="95"/>
      <c r="GF45" s="95"/>
      <c r="GG45" s="95"/>
      <c r="GH45" s="95"/>
      <c r="GI45" s="95"/>
      <c r="GJ45" s="95"/>
      <c r="GK45" s="95"/>
      <c r="GL45" s="95"/>
      <c r="GM45" s="95"/>
      <c r="GN45" s="95"/>
      <c r="GO45" s="95"/>
      <c r="GP45" s="95"/>
      <c r="GQ45" s="95"/>
      <c r="GR45" s="95"/>
      <c r="GS45" s="95"/>
      <c r="GT45" s="95"/>
      <c r="GU45" s="95"/>
      <c r="GV45" s="95"/>
      <c r="GW45" s="95"/>
      <c r="GX45" s="95"/>
      <c r="GY45" s="95"/>
      <c r="GZ45" s="95"/>
      <c r="HA45" s="95"/>
      <c r="HB45" s="95"/>
      <c r="HC45" s="95"/>
      <c r="HD45" s="95"/>
      <c r="HE45" s="95"/>
      <c r="HF45" s="95"/>
      <c r="HG45" s="95"/>
      <c r="HH45" s="95"/>
      <c r="HI45" s="95"/>
      <c r="HJ45" s="95"/>
      <c r="HK45" s="95"/>
      <c r="HL45" s="95"/>
      <c r="HM45" s="95"/>
      <c r="HN45" s="95"/>
      <c r="HO45" s="95"/>
      <c r="HP45" s="95"/>
      <c r="HQ45" s="95"/>
      <c r="HR45" s="95"/>
      <c r="HS45" s="95"/>
      <c r="HT45" s="95"/>
      <c r="HU45" s="95"/>
      <c r="HV45" s="95"/>
      <c r="HW45" s="95"/>
      <c r="HX45" s="95"/>
      <c r="HY45" s="95"/>
      <c r="HZ45" s="95"/>
      <c r="IA45" s="95"/>
      <c r="IB45" s="95"/>
      <c r="IC45" s="95"/>
      <c r="ID45" s="95"/>
      <c r="IE45" s="95"/>
      <c r="IF45" s="95"/>
      <c r="IG45" s="95"/>
      <c r="IH45" s="95"/>
      <c r="II45" s="95"/>
      <c r="IJ45" s="95"/>
      <c r="IK45" s="95"/>
      <c r="IL45" s="95"/>
      <c r="IM45" s="95"/>
      <c r="IN45" s="95"/>
      <c r="IO45" s="95"/>
      <c r="IP45" s="95"/>
      <c r="IQ45" s="95"/>
      <c r="IR45" s="95"/>
      <c r="IS45" s="95"/>
      <c r="IT45" s="95"/>
      <c r="IU45" s="95"/>
      <c r="IV45" s="95"/>
    </row>
    <row r="46" spans="1:256" s="139" customFormat="1" ht="13.5" customHeight="1">
      <c r="A46" s="145"/>
      <c r="B46" s="39"/>
      <c r="C46" s="10"/>
      <c r="D46" s="36" t="s">
        <v>473</v>
      </c>
      <c r="E46" s="10"/>
      <c r="F46" s="37">
        <f>0.07*40</f>
        <v>2.8000000000000003</v>
      </c>
      <c r="G46" s="146"/>
      <c r="H46" s="146"/>
      <c r="I46" s="137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5"/>
      <c r="BX46" s="95"/>
      <c r="BY46" s="95"/>
      <c r="BZ46" s="95"/>
      <c r="CA46" s="95"/>
      <c r="CB46" s="95"/>
      <c r="CC46" s="95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  <c r="CS46" s="95"/>
      <c r="CT46" s="95"/>
      <c r="CU46" s="95"/>
      <c r="CV46" s="95"/>
      <c r="CW46" s="95"/>
      <c r="CX46" s="95"/>
      <c r="CY46" s="95"/>
      <c r="CZ46" s="95"/>
      <c r="DA46" s="95"/>
      <c r="DB46" s="95"/>
      <c r="DC46" s="95"/>
      <c r="DD46" s="95"/>
      <c r="DE46" s="95"/>
      <c r="DF46" s="95"/>
      <c r="DG46" s="95"/>
      <c r="DH46" s="95"/>
      <c r="DI46" s="95"/>
      <c r="DJ46" s="95"/>
      <c r="DK46" s="95"/>
      <c r="DL46" s="95"/>
      <c r="DM46" s="95"/>
      <c r="DN46" s="95"/>
      <c r="DO46" s="95"/>
      <c r="DP46" s="95"/>
      <c r="DQ46" s="95"/>
      <c r="DR46" s="95"/>
      <c r="DS46" s="95"/>
      <c r="DT46" s="95"/>
      <c r="DU46" s="95"/>
      <c r="DV46" s="95"/>
      <c r="DW46" s="95"/>
      <c r="DX46" s="95"/>
      <c r="DY46" s="95"/>
      <c r="DZ46" s="95"/>
      <c r="EA46" s="95"/>
      <c r="EB46" s="95"/>
      <c r="EC46" s="95"/>
      <c r="ED46" s="95"/>
      <c r="EE46" s="95"/>
      <c r="EF46" s="95"/>
      <c r="EG46" s="95"/>
      <c r="EH46" s="95"/>
      <c r="EI46" s="95"/>
      <c r="EJ46" s="95"/>
      <c r="EK46" s="95"/>
      <c r="EL46" s="95"/>
      <c r="EM46" s="95"/>
      <c r="EN46" s="95"/>
      <c r="EO46" s="95"/>
      <c r="EP46" s="95"/>
      <c r="EQ46" s="95"/>
      <c r="ER46" s="95"/>
      <c r="ES46" s="95"/>
      <c r="ET46" s="95"/>
      <c r="EU46" s="95"/>
      <c r="EV46" s="95"/>
      <c r="EW46" s="95"/>
      <c r="EX46" s="95"/>
      <c r="EY46" s="95"/>
      <c r="EZ46" s="95"/>
      <c r="FA46" s="95"/>
      <c r="FB46" s="95"/>
      <c r="FC46" s="95"/>
      <c r="FD46" s="95"/>
      <c r="FE46" s="95"/>
      <c r="FF46" s="95"/>
      <c r="FG46" s="95"/>
      <c r="FH46" s="95"/>
      <c r="FI46" s="95"/>
      <c r="FJ46" s="95"/>
      <c r="FK46" s="95"/>
      <c r="FL46" s="95"/>
      <c r="FM46" s="95"/>
      <c r="FN46" s="95"/>
      <c r="FO46" s="95"/>
      <c r="FP46" s="95"/>
      <c r="FQ46" s="95"/>
      <c r="FR46" s="95"/>
      <c r="FS46" s="95"/>
      <c r="FT46" s="95"/>
      <c r="FU46" s="95"/>
      <c r="FV46" s="95"/>
      <c r="FW46" s="95"/>
      <c r="FX46" s="95"/>
      <c r="FY46" s="95"/>
      <c r="FZ46" s="95"/>
      <c r="GA46" s="95"/>
      <c r="GB46" s="95"/>
      <c r="GC46" s="95"/>
      <c r="GD46" s="95"/>
      <c r="GE46" s="95"/>
      <c r="GF46" s="95"/>
      <c r="GG46" s="95"/>
      <c r="GH46" s="95"/>
      <c r="GI46" s="95"/>
      <c r="GJ46" s="95"/>
      <c r="GK46" s="95"/>
      <c r="GL46" s="95"/>
      <c r="GM46" s="95"/>
      <c r="GN46" s="95"/>
      <c r="GO46" s="95"/>
      <c r="GP46" s="95"/>
      <c r="GQ46" s="95"/>
      <c r="GR46" s="95"/>
      <c r="GS46" s="95"/>
      <c r="GT46" s="95"/>
      <c r="GU46" s="95"/>
      <c r="GV46" s="95"/>
      <c r="GW46" s="95"/>
      <c r="GX46" s="95"/>
      <c r="GY46" s="95"/>
      <c r="GZ46" s="95"/>
      <c r="HA46" s="95"/>
      <c r="HB46" s="95"/>
      <c r="HC46" s="95"/>
      <c r="HD46" s="95"/>
      <c r="HE46" s="95"/>
      <c r="HF46" s="95"/>
      <c r="HG46" s="95"/>
      <c r="HH46" s="95"/>
      <c r="HI46" s="95"/>
      <c r="HJ46" s="95"/>
      <c r="HK46" s="95"/>
      <c r="HL46" s="95"/>
      <c r="HM46" s="95"/>
      <c r="HN46" s="95"/>
      <c r="HO46" s="95"/>
      <c r="HP46" s="95"/>
      <c r="HQ46" s="95"/>
      <c r="HR46" s="95"/>
      <c r="HS46" s="95"/>
      <c r="HT46" s="95"/>
      <c r="HU46" s="95"/>
      <c r="HV46" s="95"/>
      <c r="HW46" s="95"/>
      <c r="HX46" s="95"/>
      <c r="HY46" s="95"/>
      <c r="HZ46" s="95"/>
      <c r="IA46" s="95"/>
      <c r="IB46" s="95"/>
      <c r="IC46" s="95"/>
      <c r="ID46" s="95"/>
      <c r="IE46" s="95"/>
      <c r="IF46" s="95"/>
      <c r="IG46" s="95"/>
      <c r="IH46" s="95"/>
      <c r="II46" s="95"/>
      <c r="IJ46" s="95"/>
      <c r="IK46" s="95"/>
      <c r="IL46" s="95"/>
      <c r="IM46" s="95"/>
      <c r="IN46" s="95"/>
      <c r="IO46" s="95"/>
      <c r="IP46" s="95"/>
      <c r="IQ46" s="95"/>
      <c r="IR46" s="95"/>
      <c r="IS46" s="95"/>
      <c r="IT46" s="95"/>
      <c r="IU46" s="95"/>
      <c r="IV46" s="95"/>
    </row>
    <row r="47" spans="1:256" s="139" customFormat="1" ht="13.5" customHeight="1">
      <c r="A47" s="145"/>
      <c r="B47" s="39"/>
      <c r="C47" s="10"/>
      <c r="D47" s="36" t="s">
        <v>502</v>
      </c>
      <c r="E47" s="10"/>
      <c r="F47" s="37">
        <f>0.3*3.35</f>
        <v>1.0049999999999999</v>
      </c>
      <c r="G47" s="146"/>
      <c r="H47" s="146"/>
      <c r="I47" s="137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95"/>
      <c r="BV47" s="95"/>
      <c r="BW47" s="95"/>
      <c r="BX47" s="95"/>
      <c r="BY47" s="95"/>
      <c r="BZ47" s="95"/>
      <c r="CA47" s="95"/>
      <c r="CB47" s="95"/>
      <c r="CC47" s="95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  <c r="CO47" s="95"/>
      <c r="CP47" s="95"/>
      <c r="CQ47" s="95"/>
      <c r="CR47" s="95"/>
      <c r="CS47" s="95"/>
      <c r="CT47" s="95"/>
      <c r="CU47" s="95"/>
      <c r="CV47" s="95"/>
      <c r="CW47" s="95"/>
      <c r="CX47" s="95"/>
      <c r="CY47" s="95"/>
      <c r="CZ47" s="95"/>
      <c r="DA47" s="95"/>
      <c r="DB47" s="95"/>
      <c r="DC47" s="95"/>
      <c r="DD47" s="95"/>
      <c r="DE47" s="95"/>
      <c r="DF47" s="95"/>
      <c r="DG47" s="95"/>
      <c r="DH47" s="95"/>
      <c r="DI47" s="95"/>
      <c r="DJ47" s="95"/>
      <c r="DK47" s="95"/>
      <c r="DL47" s="95"/>
      <c r="DM47" s="95"/>
      <c r="DN47" s="95"/>
      <c r="DO47" s="95"/>
      <c r="DP47" s="95"/>
      <c r="DQ47" s="95"/>
      <c r="DR47" s="95"/>
      <c r="DS47" s="95"/>
      <c r="DT47" s="95"/>
      <c r="DU47" s="95"/>
      <c r="DV47" s="95"/>
      <c r="DW47" s="95"/>
      <c r="DX47" s="95"/>
      <c r="DY47" s="95"/>
      <c r="DZ47" s="95"/>
      <c r="EA47" s="95"/>
      <c r="EB47" s="95"/>
      <c r="EC47" s="95"/>
      <c r="ED47" s="95"/>
      <c r="EE47" s="95"/>
      <c r="EF47" s="95"/>
      <c r="EG47" s="95"/>
      <c r="EH47" s="95"/>
      <c r="EI47" s="95"/>
      <c r="EJ47" s="95"/>
      <c r="EK47" s="95"/>
      <c r="EL47" s="95"/>
      <c r="EM47" s="95"/>
      <c r="EN47" s="95"/>
      <c r="EO47" s="95"/>
      <c r="EP47" s="95"/>
      <c r="EQ47" s="95"/>
      <c r="ER47" s="95"/>
      <c r="ES47" s="95"/>
      <c r="ET47" s="95"/>
      <c r="EU47" s="95"/>
      <c r="EV47" s="95"/>
      <c r="EW47" s="95"/>
      <c r="EX47" s="95"/>
      <c r="EY47" s="95"/>
      <c r="EZ47" s="95"/>
      <c r="FA47" s="95"/>
      <c r="FB47" s="95"/>
      <c r="FC47" s="95"/>
      <c r="FD47" s="95"/>
      <c r="FE47" s="95"/>
      <c r="FF47" s="95"/>
      <c r="FG47" s="95"/>
      <c r="FH47" s="95"/>
      <c r="FI47" s="95"/>
      <c r="FJ47" s="95"/>
      <c r="FK47" s="95"/>
      <c r="FL47" s="95"/>
      <c r="FM47" s="95"/>
      <c r="FN47" s="95"/>
      <c r="FO47" s="95"/>
      <c r="FP47" s="95"/>
      <c r="FQ47" s="95"/>
      <c r="FR47" s="95"/>
      <c r="FS47" s="95"/>
      <c r="FT47" s="95"/>
      <c r="FU47" s="95"/>
      <c r="FV47" s="95"/>
      <c r="FW47" s="95"/>
      <c r="FX47" s="95"/>
      <c r="FY47" s="95"/>
      <c r="FZ47" s="95"/>
      <c r="GA47" s="95"/>
      <c r="GB47" s="95"/>
      <c r="GC47" s="95"/>
      <c r="GD47" s="95"/>
      <c r="GE47" s="95"/>
      <c r="GF47" s="95"/>
      <c r="GG47" s="95"/>
      <c r="GH47" s="95"/>
      <c r="GI47" s="95"/>
      <c r="GJ47" s="95"/>
      <c r="GK47" s="95"/>
      <c r="GL47" s="95"/>
      <c r="GM47" s="95"/>
      <c r="GN47" s="95"/>
      <c r="GO47" s="95"/>
      <c r="GP47" s="95"/>
      <c r="GQ47" s="95"/>
      <c r="GR47" s="95"/>
      <c r="GS47" s="95"/>
      <c r="GT47" s="95"/>
      <c r="GU47" s="95"/>
      <c r="GV47" s="95"/>
      <c r="GW47" s="95"/>
      <c r="GX47" s="95"/>
      <c r="GY47" s="95"/>
      <c r="GZ47" s="95"/>
      <c r="HA47" s="95"/>
      <c r="HB47" s="95"/>
      <c r="HC47" s="95"/>
      <c r="HD47" s="95"/>
      <c r="HE47" s="95"/>
      <c r="HF47" s="95"/>
      <c r="HG47" s="95"/>
      <c r="HH47" s="95"/>
      <c r="HI47" s="95"/>
      <c r="HJ47" s="95"/>
      <c r="HK47" s="95"/>
      <c r="HL47" s="95"/>
      <c r="HM47" s="95"/>
      <c r="HN47" s="95"/>
      <c r="HO47" s="95"/>
      <c r="HP47" s="95"/>
      <c r="HQ47" s="95"/>
      <c r="HR47" s="95"/>
      <c r="HS47" s="95"/>
      <c r="HT47" s="95"/>
      <c r="HU47" s="95"/>
      <c r="HV47" s="95"/>
      <c r="HW47" s="95"/>
      <c r="HX47" s="95"/>
      <c r="HY47" s="95"/>
      <c r="HZ47" s="95"/>
      <c r="IA47" s="95"/>
      <c r="IB47" s="95"/>
      <c r="IC47" s="95"/>
      <c r="ID47" s="95"/>
      <c r="IE47" s="95"/>
      <c r="IF47" s="95"/>
      <c r="IG47" s="95"/>
      <c r="IH47" s="95"/>
      <c r="II47" s="95"/>
      <c r="IJ47" s="95"/>
      <c r="IK47" s="95"/>
      <c r="IL47" s="95"/>
      <c r="IM47" s="95"/>
      <c r="IN47" s="95"/>
      <c r="IO47" s="95"/>
      <c r="IP47" s="95"/>
      <c r="IQ47" s="95"/>
      <c r="IR47" s="95"/>
      <c r="IS47" s="95"/>
      <c r="IT47" s="95"/>
      <c r="IU47" s="95"/>
      <c r="IV47" s="95"/>
    </row>
    <row r="48" spans="1:256" s="139" customFormat="1" ht="27" customHeight="1">
      <c r="A48" s="145"/>
      <c r="B48" s="39"/>
      <c r="C48" s="10"/>
      <c r="D48" s="36" t="s">
        <v>474</v>
      </c>
      <c r="E48" s="10"/>
      <c r="F48" s="37"/>
      <c r="G48" s="146"/>
      <c r="H48" s="146"/>
      <c r="I48" s="137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  <c r="BV48" s="95"/>
      <c r="BW48" s="95"/>
      <c r="BX48" s="95"/>
      <c r="BY48" s="95"/>
      <c r="BZ48" s="95"/>
      <c r="CA48" s="95"/>
      <c r="CB48" s="95"/>
      <c r="CC48" s="95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  <c r="CO48" s="95"/>
      <c r="CP48" s="95"/>
      <c r="CQ48" s="95"/>
      <c r="CR48" s="95"/>
      <c r="CS48" s="95"/>
      <c r="CT48" s="95"/>
      <c r="CU48" s="95"/>
      <c r="CV48" s="95"/>
      <c r="CW48" s="95"/>
      <c r="CX48" s="95"/>
      <c r="CY48" s="95"/>
      <c r="CZ48" s="95"/>
      <c r="DA48" s="95"/>
      <c r="DB48" s="95"/>
      <c r="DC48" s="95"/>
      <c r="DD48" s="95"/>
      <c r="DE48" s="95"/>
      <c r="DF48" s="95"/>
      <c r="DG48" s="95"/>
      <c r="DH48" s="95"/>
      <c r="DI48" s="95"/>
      <c r="DJ48" s="95"/>
      <c r="DK48" s="95"/>
      <c r="DL48" s="95"/>
      <c r="DM48" s="95"/>
      <c r="DN48" s="95"/>
      <c r="DO48" s="95"/>
      <c r="DP48" s="95"/>
      <c r="DQ48" s="95"/>
      <c r="DR48" s="95"/>
      <c r="DS48" s="95"/>
      <c r="DT48" s="95"/>
      <c r="DU48" s="95"/>
      <c r="DV48" s="95"/>
      <c r="DW48" s="95"/>
      <c r="DX48" s="95"/>
      <c r="DY48" s="95"/>
      <c r="DZ48" s="95"/>
      <c r="EA48" s="95"/>
      <c r="EB48" s="95"/>
      <c r="EC48" s="95"/>
      <c r="ED48" s="95"/>
      <c r="EE48" s="95"/>
      <c r="EF48" s="95"/>
      <c r="EG48" s="95"/>
      <c r="EH48" s="95"/>
      <c r="EI48" s="95"/>
      <c r="EJ48" s="95"/>
      <c r="EK48" s="95"/>
      <c r="EL48" s="95"/>
      <c r="EM48" s="95"/>
      <c r="EN48" s="95"/>
      <c r="EO48" s="95"/>
      <c r="EP48" s="95"/>
      <c r="EQ48" s="95"/>
      <c r="ER48" s="95"/>
      <c r="ES48" s="95"/>
      <c r="ET48" s="95"/>
      <c r="EU48" s="95"/>
      <c r="EV48" s="95"/>
      <c r="EW48" s="95"/>
      <c r="EX48" s="95"/>
      <c r="EY48" s="95"/>
      <c r="EZ48" s="95"/>
      <c r="FA48" s="95"/>
      <c r="FB48" s="95"/>
      <c r="FC48" s="95"/>
      <c r="FD48" s="95"/>
      <c r="FE48" s="95"/>
      <c r="FF48" s="95"/>
      <c r="FG48" s="95"/>
      <c r="FH48" s="95"/>
      <c r="FI48" s="95"/>
      <c r="FJ48" s="95"/>
      <c r="FK48" s="95"/>
      <c r="FL48" s="95"/>
      <c r="FM48" s="95"/>
      <c r="FN48" s="95"/>
      <c r="FO48" s="95"/>
      <c r="FP48" s="95"/>
      <c r="FQ48" s="95"/>
      <c r="FR48" s="95"/>
      <c r="FS48" s="95"/>
      <c r="FT48" s="95"/>
      <c r="FU48" s="95"/>
      <c r="FV48" s="95"/>
      <c r="FW48" s="95"/>
      <c r="FX48" s="95"/>
      <c r="FY48" s="95"/>
      <c r="FZ48" s="95"/>
      <c r="GA48" s="95"/>
      <c r="GB48" s="95"/>
      <c r="GC48" s="95"/>
      <c r="GD48" s="95"/>
      <c r="GE48" s="95"/>
      <c r="GF48" s="95"/>
      <c r="GG48" s="95"/>
      <c r="GH48" s="95"/>
      <c r="GI48" s="95"/>
      <c r="GJ48" s="95"/>
      <c r="GK48" s="95"/>
      <c r="GL48" s="95"/>
      <c r="GM48" s="95"/>
      <c r="GN48" s="95"/>
      <c r="GO48" s="95"/>
      <c r="GP48" s="95"/>
      <c r="GQ48" s="95"/>
      <c r="GR48" s="95"/>
      <c r="GS48" s="95"/>
      <c r="GT48" s="95"/>
      <c r="GU48" s="95"/>
      <c r="GV48" s="95"/>
      <c r="GW48" s="95"/>
      <c r="GX48" s="95"/>
      <c r="GY48" s="95"/>
      <c r="GZ48" s="95"/>
      <c r="HA48" s="95"/>
      <c r="HB48" s="95"/>
      <c r="HC48" s="95"/>
      <c r="HD48" s="95"/>
      <c r="HE48" s="95"/>
      <c r="HF48" s="95"/>
      <c r="HG48" s="95"/>
      <c r="HH48" s="95"/>
      <c r="HI48" s="95"/>
      <c r="HJ48" s="95"/>
      <c r="HK48" s="95"/>
      <c r="HL48" s="95"/>
      <c r="HM48" s="95"/>
      <c r="HN48" s="95"/>
      <c r="HO48" s="95"/>
      <c r="HP48" s="95"/>
      <c r="HQ48" s="95"/>
      <c r="HR48" s="95"/>
      <c r="HS48" s="95"/>
      <c r="HT48" s="95"/>
      <c r="HU48" s="95"/>
      <c r="HV48" s="95"/>
      <c r="HW48" s="95"/>
      <c r="HX48" s="95"/>
      <c r="HY48" s="95"/>
      <c r="HZ48" s="95"/>
      <c r="IA48" s="95"/>
      <c r="IB48" s="95"/>
      <c r="IC48" s="95"/>
      <c r="ID48" s="95"/>
      <c r="IE48" s="95"/>
      <c r="IF48" s="95"/>
      <c r="IG48" s="95"/>
      <c r="IH48" s="95"/>
      <c r="II48" s="95"/>
      <c r="IJ48" s="95"/>
      <c r="IK48" s="95"/>
      <c r="IL48" s="95"/>
      <c r="IM48" s="95"/>
      <c r="IN48" s="95"/>
      <c r="IO48" s="95"/>
      <c r="IP48" s="95"/>
      <c r="IQ48" s="95"/>
      <c r="IR48" s="95"/>
      <c r="IS48" s="95"/>
      <c r="IT48" s="95"/>
      <c r="IU48" s="95"/>
      <c r="IV48" s="95"/>
    </row>
    <row r="49" spans="1:256" s="95" customFormat="1" ht="13.5" customHeight="1">
      <c r="A49" s="42">
        <v>7</v>
      </c>
      <c r="B49" s="39" t="s">
        <v>34</v>
      </c>
      <c r="C49" s="10">
        <v>612142001</v>
      </c>
      <c r="D49" s="10" t="s">
        <v>455</v>
      </c>
      <c r="E49" s="10" t="s">
        <v>20</v>
      </c>
      <c r="F49" s="124">
        <f>SUM(F51:F51)</f>
        <v>16.863</v>
      </c>
      <c r="G49" s="459"/>
      <c r="H49" s="48">
        <f>F49*G49</f>
        <v>0</v>
      </c>
      <c r="I49" s="97" t="s">
        <v>254</v>
      </c>
      <c r="J49" s="147"/>
      <c r="K49" s="126"/>
      <c r="L49" s="148"/>
    </row>
    <row r="50" spans="1:256" s="95" customFormat="1" ht="27" customHeight="1">
      <c r="A50" s="42"/>
      <c r="B50" s="39"/>
      <c r="C50" s="10"/>
      <c r="D50" s="36" t="s">
        <v>467</v>
      </c>
      <c r="E50" s="10"/>
      <c r="F50" s="124"/>
      <c r="G50" s="48"/>
      <c r="H50" s="48"/>
      <c r="I50" s="97"/>
      <c r="J50" s="147"/>
      <c r="K50" s="126"/>
      <c r="L50" s="148"/>
    </row>
    <row r="51" spans="1:256" s="95" customFormat="1" ht="13.5" customHeight="1">
      <c r="A51" s="127"/>
      <c r="B51" s="121"/>
      <c r="C51" s="121"/>
      <c r="D51" s="36" t="s">
        <v>468</v>
      </c>
      <c r="E51" s="10"/>
      <c r="F51" s="37">
        <f>(314.45+22.81)*0.05</f>
        <v>16.863</v>
      </c>
      <c r="G51" s="123"/>
      <c r="H51" s="123"/>
      <c r="I51" s="128"/>
      <c r="J51" s="132"/>
      <c r="L51" s="132"/>
      <c r="N51" s="74"/>
    </row>
    <row r="52" spans="1:256" s="155" customFormat="1" ht="13.5" customHeight="1">
      <c r="A52" s="149">
        <v>8</v>
      </c>
      <c r="B52" s="150" t="s">
        <v>75</v>
      </c>
      <c r="C52" s="151">
        <v>612325423</v>
      </c>
      <c r="D52" s="151" t="s">
        <v>407</v>
      </c>
      <c r="E52" s="151" t="s">
        <v>20</v>
      </c>
      <c r="F52" s="152">
        <f>SUM(F55:F59)</f>
        <v>314.44900000000001</v>
      </c>
      <c r="G52" s="462"/>
      <c r="H52" s="153">
        <f>F52*G52</f>
        <v>0</v>
      </c>
      <c r="I52" s="97" t="s">
        <v>254</v>
      </c>
      <c r="J52" s="125"/>
      <c r="K52" s="154"/>
      <c r="L52" s="154"/>
      <c r="M52" s="154"/>
      <c r="N52" s="154"/>
      <c r="O52" s="154"/>
      <c r="P52" s="154"/>
      <c r="Q52" s="154"/>
      <c r="R52" s="154"/>
    </row>
    <row r="53" spans="1:256" s="155" customFormat="1" ht="13.5" customHeight="1">
      <c r="A53" s="149"/>
      <c r="B53" s="150"/>
      <c r="C53" s="151"/>
      <c r="D53" s="131" t="s">
        <v>96</v>
      </c>
      <c r="E53" s="151"/>
      <c r="F53" s="152"/>
      <c r="G53" s="153"/>
      <c r="H53" s="153"/>
      <c r="I53" s="156"/>
      <c r="J53" s="125"/>
      <c r="K53" s="154"/>
      <c r="L53" s="154"/>
      <c r="M53" s="154"/>
      <c r="N53" s="154"/>
      <c r="O53" s="154"/>
      <c r="P53" s="154"/>
      <c r="Q53" s="154"/>
      <c r="R53" s="154"/>
    </row>
    <row r="54" spans="1:256" s="155" customFormat="1" ht="13.5" customHeight="1">
      <c r="A54" s="157"/>
      <c r="B54" s="151"/>
      <c r="C54" s="151"/>
      <c r="D54" s="131" t="s">
        <v>246</v>
      </c>
      <c r="E54" s="151"/>
      <c r="F54" s="135"/>
      <c r="G54" s="153"/>
      <c r="H54" s="153"/>
      <c r="I54" s="158"/>
      <c r="K54" s="154"/>
      <c r="L54" s="154"/>
    </row>
    <row r="55" spans="1:256" s="95" customFormat="1" ht="13.5" customHeight="1">
      <c r="A55" s="120"/>
      <c r="B55" s="87"/>
      <c r="C55" s="121"/>
      <c r="D55" s="131" t="s">
        <v>216</v>
      </c>
      <c r="E55" s="121"/>
      <c r="F55" s="116">
        <f>(34.7+36)*1.25</f>
        <v>88.375</v>
      </c>
      <c r="G55" s="123"/>
      <c r="H55" s="123"/>
      <c r="I55" s="38"/>
      <c r="J55" s="147"/>
    </row>
    <row r="56" spans="1:256" s="95" customFormat="1" ht="27" customHeight="1">
      <c r="A56" s="120"/>
      <c r="B56" s="87"/>
      <c r="C56" s="121"/>
      <c r="D56" s="131" t="s">
        <v>217</v>
      </c>
      <c r="E56" s="121"/>
      <c r="F56" s="116">
        <f>(2.1+2.16+2.18+2.2+2.22+2.24*2+2.26*3+2.28+2.3+2.32+2.34)*3.35</f>
        <v>105.05600000000001</v>
      </c>
      <c r="G56" s="123"/>
      <c r="H56" s="123"/>
      <c r="I56" s="38"/>
      <c r="J56" s="136"/>
    </row>
    <row r="57" spans="1:256" s="95" customFormat="1" ht="13.5" customHeight="1">
      <c r="A57" s="120"/>
      <c r="B57" s="87"/>
      <c r="C57" s="121"/>
      <c r="D57" s="131" t="s">
        <v>218</v>
      </c>
      <c r="E57" s="121"/>
      <c r="F57" s="116">
        <f>(14.25+14.05)*3.35-(1.7*2.4+1.55*2.02)</f>
        <v>87.594000000000008</v>
      </c>
      <c r="G57" s="123"/>
      <c r="H57" s="123"/>
      <c r="I57" s="38"/>
      <c r="J57" s="148"/>
    </row>
    <row r="58" spans="1:256" s="95" customFormat="1" ht="13.5" customHeight="1">
      <c r="A58" s="130"/>
      <c r="B58" s="87"/>
      <c r="C58" s="121"/>
      <c r="D58" s="131" t="s">
        <v>408</v>
      </c>
      <c r="E58" s="121"/>
      <c r="F58" s="116">
        <f>7.92*3.35-0.9*2.02</f>
        <v>24.713999999999999</v>
      </c>
      <c r="G58" s="123"/>
      <c r="H58" s="123"/>
      <c r="I58" s="38"/>
      <c r="J58" s="148"/>
    </row>
    <row r="59" spans="1:256" s="95" customFormat="1" ht="13.5" customHeight="1">
      <c r="A59" s="130"/>
      <c r="B59" s="87"/>
      <c r="C59" s="121"/>
      <c r="D59" s="131" t="s">
        <v>409</v>
      </c>
      <c r="E59" s="121"/>
      <c r="F59" s="116">
        <f>2.6*3.35</f>
        <v>8.7100000000000009</v>
      </c>
      <c r="G59" s="123"/>
      <c r="H59" s="123"/>
      <c r="I59" s="38"/>
      <c r="J59" s="148"/>
    </row>
    <row r="60" spans="1:256" s="139" customFormat="1" ht="13.5" customHeight="1">
      <c r="A60" s="42"/>
      <c r="B60" s="39"/>
      <c r="C60" s="10"/>
      <c r="D60" s="36" t="s">
        <v>122</v>
      </c>
      <c r="E60" s="10"/>
      <c r="F60" s="37"/>
      <c r="G60" s="48"/>
      <c r="H60" s="48"/>
      <c r="I60" s="137"/>
      <c r="J60" s="138"/>
      <c r="K60" s="136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P60" s="95"/>
      <c r="BQ60" s="95"/>
      <c r="BR60" s="95"/>
      <c r="BS60" s="95"/>
      <c r="BT60" s="95"/>
      <c r="BU60" s="95"/>
      <c r="BV60" s="95"/>
      <c r="BW60" s="95"/>
      <c r="BX60" s="95"/>
      <c r="BY60" s="95"/>
      <c r="BZ60" s="95"/>
      <c r="CA60" s="95"/>
      <c r="CB60" s="95"/>
      <c r="CC60" s="95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  <c r="CW60" s="95"/>
      <c r="CX60" s="95"/>
      <c r="CY60" s="95"/>
      <c r="CZ60" s="95"/>
      <c r="DA60" s="95"/>
      <c r="DB60" s="95"/>
      <c r="DC60" s="95"/>
      <c r="DD60" s="95"/>
      <c r="DE60" s="95"/>
      <c r="DF60" s="95"/>
      <c r="DG60" s="95"/>
      <c r="DH60" s="95"/>
      <c r="DI60" s="95"/>
      <c r="DJ60" s="95"/>
      <c r="DK60" s="95"/>
      <c r="DL60" s="95"/>
      <c r="DM60" s="95"/>
      <c r="DN60" s="95"/>
      <c r="DO60" s="95"/>
      <c r="DP60" s="95"/>
      <c r="DQ60" s="95"/>
      <c r="DR60" s="95"/>
      <c r="DS60" s="95"/>
      <c r="DT60" s="95"/>
      <c r="DU60" s="95"/>
      <c r="DV60" s="95"/>
      <c r="DW60" s="95"/>
      <c r="DX60" s="95"/>
      <c r="DY60" s="95"/>
      <c r="DZ60" s="95"/>
      <c r="EA60" s="95"/>
      <c r="EB60" s="95"/>
      <c r="EC60" s="95"/>
      <c r="ED60" s="95"/>
      <c r="EE60" s="95"/>
      <c r="EF60" s="95"/>
      <c r="EG60" s="95"/>
      <c r="EH60" s="95"/>
      <c r="EI60" s="95"/>
      <c r="EJ60" s="95"/>
      <c r="EK60" s="95"/>
      <c r="EL60" s="95"/>
      <c r="EM60" s="95"/>
      <c r="EN60" s="95"/>
      <c r="EO60" s="95"/>
      <c r="EP60" s="95"/>
      <c r="EQ60" s="95"/>
      <c r="ER60" s="95"/>
      <c r="ES60" s="95"/>
      <c r="ET60" s="95"/>
      <c r="EU60" s="95"/>
      <c r="EV60" s="95"/>
      <c r="EW60" s="95"/>
      <c r="EX60" s="95"/>
      <c r="EY60" s="95"/>
      <c r="EZ60" s="95"/>
      <c r="FA60" s="95"/>
      <c r="FB60" s="95"/>
      <c r="FC60" s="95"/>
      <c r="FD60" s="95"/>
      <c r="FE60" s="95"/>
      <c r="FF60" s="95"/>
      <c r="FG60" s="95"/>
      <c r="FH60" s="95"/>
      <c r="FI60" s="95"/>
      <c r="FJ60" s="95"/>
      <c r="FK60" s="95"/>
      <c r="FL60" s="95"/>
      <c r="FM60" s="95"/>
      <c r="FN60" s="95"/>
      <c r="FO60" s="95"/>
      <c r="FP60" s="95"/>
      <c r="FQ60" s="95"/>
      <c r="FR60" s="95"/>
      <c r="FS60" s="95"/>
      <c r="FT60" s="95"/>
      <c r="FU60" s="95"/>
      <c r="FV60" s="95"/>
      <c r="FW60" s="95"/>
      <c r="FX60" s="95"/>
      <c r="FY60" s="95"/>
      <c r="FZ60" s="95"/>
      <c r="GA60" s="95"/>
      <c r="GB60" s="95"/>
      <c r="GC60" s="95"/>
      <c r="GD60" s="95"/>
      <c r="GE60" s="95"/>
      <c r="GF60" s="95"/>
      <c r="GG60" s="95"/>
      <c r="GH60" s="95"/>
      <c r="GI60" s="95"/>
      <c r="GJ60" s="95"/>
      <c r="GK60" s="95"/>
      <c r="GL60" s="95"/>
      <c r="GM60" s="95"/>
      <c r="GN60" s="95"/>
      <c r="GO60" s="95"/>
      <c r="GP60" s="95"/>
      <c r="GQ60" s="95"/>
      <c r="GR60" s="95"/>
      <c r="GS60" s="95"/>
      <c r="GT60" s="95"/>
      <c r="GU60" s="95"/>
      <c r="GV60" s="95"/>
      <c r="GW60" s="95"/>
      <c r="GX60" s="95"/>
      <c r="GY60" s="95"/>
      <c r="GZ60" s="95"/>
      <c r="HA60" s="95"/>
      <c r="HB60" s="95"/>
      <c r="HC60" s="95"/>
      <c r="HD60" s="95"/>
      <c r="HE60" s="95"/>
      <c r="HF60" s="95"/>
      <c r="HG60" s="95"/>
      <c r="HH60" s="95"/>
      <c r="HI60" s="95"/>
      <c r="HJ60" s="95"/>
      <c r="HK60" s="95"/>
      <c r="HL60" s="95"/>
      <c r="HM60" s="95"/>
      <c r="HN60" s="95"/>
      <c r="HO60" s="95"/>
      <c r="HP60" s="95"/>
      <c r="HQ60" s="95"/>
      <c r="HR60" s="95"/>
      <c r="HS60" s="95"/>
      <c r="HT60" s="95"/>
      <c r="HU60" s="95"/>
      <c r="HV60" s="95"/>
      <c r="HW60" s="95"/>
      <c r="HX60" s="95"/>
      <c r="HY60" s="95"/>
      <c r="HZ60" s="95"/>
      <c r="IA60" s="95"/>
      <c r="IB60" s="95"/>
      <c r="IC60" s="95"/>
      <c r="ID60" s="95"/>
      <c r="IE60" s="95"/>
      <c r="IF60" s="95"/>
      <c r="IG60" s="95"/>
      <c r="IH60" s="95"/>
      <c r="II60" s="95"/>
      <c r="IJ60" s="95"/>
      <c r="IK60" s="95"/>
      <c r="IL60" s="95"/>
      <c r="IM60" s="95"/>
      <c r="IN60" s="95"/>
      <c r="IO60" s="95"/>
      <c r="IP60" s="95"/>
      <c r="IQ60" s="95"/>
      <c r="IR60" s="95"/>
      <c r="IS60" s="95"/>
      <c r="IT60" s="95"/>
      <c r="IU60" s="95"/>
      <c r="IV60" s="95"/>
    </row>
    <row r="61" spans="1:256" s="139" customFormat="1" ht="13.5" customHeight="1">
      <c r="A61" s="42"/>
      <c r="B61" s="39"/>
      <c r="C61" s="10"/>
      <c r="D61" s="36" t="s">
        <v>231</v>
      </c>
      <c r="E61" s="10"/>
      <c r="F61" s="37"/>
      <c r="G61" s="48"/>
      <c r="H61" s="48"/>
      <c r="I61" s="137"/>
      <c r="J61" s="138"/>
      <c r="K61" s="136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/>
      <c r="AS61" s="95"/>
      <c r="AT61" s="95"/>
      <c r="AU61" s="95"/>
      <c r="AV61" s="95"/>
      <c r="AW61" s="95"/>
      <c r="AX61" s="95"/>
      <c r="AY61" s="95"/>
      <c r="AZ61" s="95"/>
      <c r="BA61" s="95"/>
      <c r="BB61" s="95"/>
      <c r="BC61" s="95"/>
      <c r="BD61" s="95"/>
      <c r="BE61" s="95"/>
      <c r="BF61" s="95"/>
      <c r="BG61" s="95"/>
      <c r="BH61" s="95"/>
      <c r="BI61" s="95"/>
      <c r="BJ61" s="95"/>
      <c r="BK61" s="95"/>
      <c r="BL61" s="95"/>
      <c r="BM61" s="95"/>
      <c r="BN61" s="95"/>
      <c r="BO61" s="95"/>
      <c r="BP61" s="95"/>
      <c r="BQ61" s="95"/>
      <c r="BR61" s="95"/>
      <c r="BS61" s="95"/>
      <c r="BT61" s="95"/>
      <c r="BU61" s="95"/>
      <c r="BV61" s="95"/>
      <c r="BW61" s="95"/>
      <c r="BX61" s="95"/>
      <c r="BY61" s="95"/>
      <c r="BZ61" s="95"/>
      <c r="CA61" s="95"/>
      <c r="CB61" s="95"/>
      <c r="CC61" s="95"/>
      <c r="CD61" s="95"/>
      <c r="CE61" s="95"/>
      <c r="CF61" s="95"/>
      <c r="CG61" s="95"/>
      <c r="CH61" s="95"/>
      <c r="CI61" s="95"/>
      <c r="CJ61" s="95"/>
      <c r="CK61" s="95"/>
      <c r="CL61" s="95"/>
      <c r="CM61" s="95"/>
      <c r="CN61" s="95"/>
      <c r="CO61" s="95"/>
      <c r="CP61" s="95"/>
      <c r="CQ61" s="95"/>
      <c r="CR61" s="95"/>
      <c r="CS61" s="95"/>
      <c r="CT61" s="95"/>
      <c r="CU61" s="95"/>
      <c r="CV61" s="95"/>
      <c r="CW61" s="95"/>
      <c r="CX61" s="95"/>
      <c r="CY61" s="95"/>
      <c r="CZ61" s="95"/>
      <c r="DA61" s="95"/>
      <c r="DB61" s="95"/>
      <c r="DC61" s="95"/>
      <c r="DD61" s="95"/>
      <c r="DE61" s="95"/>
      <c r="DF61" s="95"/>
      <c r="DG61" s="95"/>
      <c r="DH61" s="95"/>
      <c r="DI61" s="95"/>
      <c r="DJ61" s="95"/>
      <c r="DK61" s="95"/>
      <c r="DL61" s="95"/>
      <c r="DM61" s="95"/>
      <c r="DN61" s="95"/>
      <c r="DO61" s="95"/>
      <c r="DP61" s="95"/>
      <c r="DQ61" s="95"/>
      <c r="DR61" s="95"/>
      <c r="DS61" s="95"/>
      <c r="DT61" s="95"/>
      <c r="DU61" s="95"/>
      <c r="DV61" s="95"/>
      <c r="DW61" s="95"/>
      <c r="DX61" s="95"/>
      <c r="DY61" s="95"/>
      <c r="DZ61" s="95"/>
      <c r="EA61" s="95"/>
      <c r="EB61" s="95"/>
      <c r="EC61" s="95"/>
      <c r="ED61" s="95"/>
      <c r="EE61" s="95"/>
      <c r="EF61" s="95"/>
      <c r="EG61" s="95"/>
      <c r="EH61" s="95"/>
      <c r="EI61" s="95"/>
      <c r="EJ61" s="95"/>
      <c r="EK61" s="95"/>
      <c r="EL61" s="95"/>
      <c r="EM61" s="95"/>
      <c r="EN61" s="95"/>
      <c r="EO61" s="95"/>
      <c r="EP61" s="95"/>
      <c r="EQ61" s="95"/>
      <c r="ER61" s="95"/>
      <c r="ES61" s="95"/>
      <c r="ET61" s="95"/>
      <c r="EU61" s="95"/>
      <c r="EV61" s="95"/>
      <c r="EW61" s="95"/>
      <c r="EX61" s="95"/>
      <c r="EY61" s="95"/>
      <c r="EZ61" s="95"/>
      <c r="FA61" s="95"/>
      <c r="FB61" s="95"/>
      <c r="FC61" s="95"/>
      <c r="FD61" s="95"/>
      <c r="FE61" s="95"/>
      <c r="FF61" s="95"/>
      <c r="FG61" s="95"/>
      <c r="FH61" s="95"/>
      <c r="FI61" s="95"/>
      <c r="FJ61" s="95"/>
      <c r="FK61" s="95"/>
      <c r="FL61" s="95"/>
      <c r="FM61" s="95"/>
      <c r="FN61" s="95"/>
      <c r="FO61" s="95"/>
      <c r="FP61" s="95"/>
      <c r="FQ61" s="95"/>
      <c r="FR61" s="95"/>
      <c r="FS61" s="95"/>
      <c r="FT61" s="95"/>
      <c r="FU61" s="95"/>
      <c r="FV61" s="95"/>
      <c r="FW61" s="95"/>
      <c r="FX61" s="95"/>
      <c r="FY61" s="95"/>
      <c r="FZ61" s="95"/>
      <c r="GA61" s="95"/>
      <c r="GB61" s="95"/>
      <c r="GC61" s="95"/>
      <c r="GD61" s="95"/>
      <c r="GE61" s="95"/>
      <c r="GF61" s="95"/>
      <c r="GG61" s="95"/>
      <c r="GH61" s="95"/>
      <c r="GI61" s="95"/>
      <c r="GJ61" s="95"/>
      <c r="GK61" s="95"/>
      <c r="GL61" s="95"/>
      <c r="GM61" s="95"/>
      <c r="GN61" s="95"/>
      <c r="GO61" s="95"/>
      <c r="GP61" s="95"/>
      <c r="GQ61" s="95"/>
      <c r="GR61" s="95"/>
      <c r="GS61" s="95"/>
      <c r="GT61" s="95"/>
      <c r="GU61" s="95"/>
      <c r="GV61" s="95"/>
      <c r="GW61" s="95"/>
      <c r="GX61" s="95"/>
      <c r="GY61" s="95"/>
      <c r="GZ61" s="95"/>
      <c r="HA61" s="95"/>
      <c r="HB61" s="95"/>
      <c r="HC61" s="95"/>
      <c r="HD61" s="95"/>
      <c r="HE61" s="95"/>
      <c r="HF61" s="95"/>
      <c r="HG61" s="95"/>
      <c r="HH61" s="95"/>
      <c r="HI61" s="95"/>
      <c r="HJ61" s="95"/>
      <c r="HK61" s="95"/>
      <c r="HL61" s="95"/>
      <c r="HM61" s="95"/>
      <c r="HN61" s="95"/>
      <c r="HO61" s="95"/>
      <c r="HP61" s="95"/>
      <c r="HQ61" s="95"/>
      <c r="HR61" s="95"/>
      <c r="HS61" s="95"/>
      <c r="HT61" s="95"/>
      <c r="HU61" s="95"/>
      <c r="HV61" s="95"/>
      <c r="HW61" s="95"/>
      <c r="HX61" s="95"/>
      <c r="HY61" s="95"/>
      <c r="HZ61" s="95"/>
      <c r="IA61" s="95"/>
      <c r="IB61" s="95"/>
      <c r="IC61" s="95"/>
      <c r="ID61" s="95"/>
      <c r="IE61" s="95"/>
      <c r="IF61" s="95"/>
      <c r="IG61" s="95"/>
      <c r="IH61" s="95"/>
      <c r="II61" s="95"/>
      <c r="IJ61" s="95"/>
      <c r="IK61" s="95"/>
      <c r="IL61" s="95"/>
      <c r="IM61" s="95"/>
      <c r="IN61" s="95"/>
      <c r="IO61" s="95"/>
      <c r="IP61" s="95"/>
      <c r="IQ61" s="95"/>
      <c r="IR61" s="95"/>
      <c r="IS61" s="95"/>
      <c r="IT61" s="95"/>
      <c r="IU61" s="95"/>
      <c r="IV61" s="95"/>
    </row>
    <row r="62" spans="1:256" s="155" customFormat="1" ht="27" customHeight="1">
      <c r="A62" s="149">
        <v>9</v>
      </c>
      <c r="B62" s="150" t="s">
        <v>75</v>
      </c>
      <c r="C62" s="151">
        <v>612325453</v>
      </c>
      <c r="D62" s="151" t="s">
        <v>412</v>
      </c>
      <c r="E62" s="151" t="s">
        <v>20</v>
      </c>
      <c r="F62" s="152">
        <f>SUM(F65:F69)</f>
        <v>314.44900000000001</v>
      </c>
      <c r="G62" s="462"/>
      <c r="H62" s="153">
        <f>F62*G62</f>
        <v>0</v>
      </c>
      <c r="I62" s="97" t="s">
        <v>254</v>
      </c>
      <c r="J62" s="125"/>
      <c r="K62" s="154"/>
      <c r="L62" s="154"/>
      <c r="M62" s="154"/>
      <c r="N62" s="154"/>
      <c r="O62" s="154"/>
      <c r="P62" s="154"/>
      <c r="Q62" s="154"/>
      <c r="R62" s="154"/>
    </row>
    <row r="63" spans="1:256" s="155" customFormat="1" ht="13.5" customHeight="1">
      <c r="A63" s="149"/>
      <c r="B63" s="150"/>
      <c r="C63" s="151"/>
      <c r="D63" s="131" t="s">
        <v>167</v>
      </c>
      <c r="E63" s="151"/>
      <c r="F63" s="152"/>
      <c r="G63" s="153"/>
      <c r="H63" s="153"/>
      <c r="I63" s="156"/>
      <c r="J63" s="125"/>
      <c r="K63" s="154"/>
      <c r="L63" s="154"/>
      <c r="M63" s="154"/>
      <c r="N63" s="154"/>
      <c r="O63" s="154"/>
      <c r="P63" s="154"/>
      <c r="Q63" s="154"/>
      <c r="R63" s="154"/>
    </row>
    <row r="64" spans="1:256" s="155" customFormat="1" ht="13.5" customHeight="1">
      <c r="A64" s="157"/>
      <c r="B64" s="151"/>
      <c r="C64" s="151"/>
      <c r="D64" s="131" t="s">
        <v>410</v>
      </c>
      <c r="E64" s="151"/>
      <c r="F64" s="135"/>
      <c r="G64" s="153"/>
      <c r="H64" s="153"/>
      <c r="I64" s="158"/>
      <c r="K64" s="154"/>
      <c r="L64" s="154"/>
    </row>
    <row r="65" spans="1:256" s="95" customFormat="1" ht="13.5" customHeight="1">
      <c r="A65" s="120"/>
      <c r="B65" s="87"/>
      <c r="C65" s="121"/>
      <c r="D65" s="131" t="s">
        <v>216</v>
      </c>
      <c r="E65" s="121"/>
      <c r="F65" s="116">
        <f>(34.7+36)*1.25</f>
        <v>88.375</v>
      </c>
      <c r="G65" s="123"/>
      <c r="H65" s="123"/>
      <c r="I65" s="38"/>
      <c r="J65" s="147"/>
    </row>
    <row r="66" spans="1:256" s="95" customFormat="1" ht="27" customHeight="1">
      <c r="A66" s="120"/>
      <c r="B66" s="87"/>
      <c r="C66" s="121"/>
      <c r="D66" s="131" t="s">
        <v>217</v>
      </c>
      <c r="E66" s="121"/>
      <c r="F66" s="116">
        <f>(2.1+2.16+2.18+2.2+2.22+2.24*2+2.26*3+2.28+2.3+2.32+2.34)*3.35</f>
        <v>105.05600000000001</v>
      </c>
      <c r="G66" s="123"/>
      <c r="H66" s="123"/>
      <c r="I66" s="38"/>
      <c r="J66" s="136"/>
    </row>
    <row r="67" spans="1:256" s="95" customFormat="1" ht="13.5" customHeight="1">
      <c r="A67" s="120"/>
      <c r="B67" s="87"/>
      <c r="C67" s="121"/>
      <c r="D67" s="131" t="s">
        <v>218</v>
      </c>
      <c r="E67" s="121"/>
      <c r="F67" s="116">
        <f>(14.25+14.05)*3.35-(1.7*2.4+1.55*2.02)</f>
        <v>87.594000000000008</v>
      </c>
      <c r="G67" s="123"/>
      <c r="H67" s="123"/>
      <c r="I67" s="38"/>
      <c r="J67" s="148"/>
    </row>
    <row r="68" spans="1:256" s="95" customFormat="1" ht="13.5" customHeight="1">
      <c r="A68" s="130"/>
      <c r="B68" s="87"/>
      <c r="C68" s="121"/>
      <c r="D68" s="131" t="s">
        <v>408</v>
      </c>
      <c r="E68" s="121"/>
      <c r="F68" s="116">
        <f>7.92*3.35-0.9*2.02</f>
        <v>24.713999999999999</v>
      </c>
      <c r="G68" s="123"/>
      <c r="H68" s="123"/>
      <c r="I68" s="38"/>
      <c r="J68" s="148"/>
    </row>
    <row r="69" spans="1:256" s="95" customFormat="1" ht="13.5" customHeight="1">
      <c r="A69" s="130"/>
      <c r="B69" s="87"/>
      <c r="C69" s="121"/>
      <c r="D69" s="131" t="s">
        <v>409</v>
      </c>
      <c r="E69" s="121"/>
      <c r="F69" s="116">
        <f>2.6*3.35</f>
        <v>8.7100000000000009</v>
      </c>
      <c r="G69" s="123"/>
      <c r="H69" s="123"/>
      <c r="I69" s="38"/>
      <c r="J69" s="148"/>
    </row>
    <row r="70" spans="1:256" s="139" customFormat="1" ht="13.5" customHeight="1">
      <c r="A70" s="42"/>
      <c r="B70" s="39"/>
      <c r="C70" s="10"/>
      <c r="D70" s="36" t="s">
        <v>122</v>
      </c>
      <c r="E70" s="10"/>
      <c r="F70" s="37"/>
      <c r="G70" s="48"/>
      <c r="H70" s="48"/>
      <c r="I70" s="137"/>
      <c r="J70" s="138"/>
      <c r="K70" s="136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95"/>
      <c r="AJ70" s="95"/>
      <c r="AK70" s="95"/>
      <c r="AL70" s="95"/>
      <c r="AM70" s="95"/>
      <c r="AN70" s="95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  <c r="BM70" s="95"/>
      <c r="BN70" s="95"/>
      <c r="BO70" s="95"/>
      <c r="BP70" s="95"/>
      <c r="BQ70" s="95"/>
      <c r="BR70" s="95"/>
      <c r="BS70" s="95"/>
      <c r="BT70" s="95"/>
      <c r="BU70" s="95"/>
      <c r="BV70" s="95"/>
      <c r="BW70" s="95"/>
      <c r="BX70" s="95"/>
      <c r="BY70" s="95"/>
      <c r="BZ70" s="95"/>
      <c r="CA70" s="95"/>
      <c r="CB70" s="95"/>
      <c r="CC70" s="95"/>
      <c r="CD70" s="95"/>
      <c r="CE70" s="95"/>
      <c r="CF70" s="95"/>
      <c r="CG70" s="95"/>
      <c r="CH70" s="95"/>
      <c r="CI70" s="95"/>
      <c r="CJ70" s="95"/>
      <c r="CK70" s="95"/>
      <c r="CL70" s="95"/>
      <c r="CM70" s="95"/>
      <c r="CN70" s="95"/>
      <c r="CO70" s="95"/>
      <c r="CP70" s="95"/>
      <c r="CQ70" s="95"/>
      <c r="CR70" s="95"/>
      <c r="CS70" s="95"/>
      <c r="CT70" s="95"/>
      <c r="CU70" s="95"/>
      <c r="CV70" s="95"/>
      <c r="CW70" s="95"/>
      <c r="CX70" s="95"/>
      <c r="CY70" s="95"/>
      <c r="CZ70" s="95"/>
      <c r="DA70" s="95"/>
      <c r="DB70" s="95"/>
      <c r="DC70" s="95"/>
      <c r="DD70" s="95"/>
      <c r="DE70" s="95"/>
      <c r="DF70" s="95"/>
      <c r="DG70" s="95"/>
      <c r="DH70" s="95"/>
      <c r="DI70" s="95"/>
      <c r="DJ70" s="95"/>
      <c r="DK70" s="95"/>
      <c r="DL70" s="95"/>
      <c r="DM70" s="95"/>
      <c r="DN70" s="95"/>
      <c r="DO70" s="95"/>
      <c r="DP70" s="95"/>
      <c r="DQ70" s="95"/>
      <c r="DR70" s="95"/>
      <c r="DS70" s="95"/>
      <c r="DT70" s="95"/>
      <c r="DU70" s="95"/>
      <c r="DV70" s="95"/>
      <c r="DW70" s="95"/>
      <c r="DX70" s="95"/>
      <c r="DY70" s="95"/>
      <c r="DZ70" s="95"/>
      <c r="EA70" s="95"/>
      <c r="EB70" s="95"/>
      <c r="EC70" s="95"/>
      <c r="ED70" s="95"/>
      <c r="EE70" s="95"/>
      <c r="EF70" s="95"/>
      <c r="EG70" s="95"/>
      <c r="EH70" s="95"/>
      <c r="EI70" s="95"/>
      <c r="EJ70" s="95"/>
      <c r="EK70" s="95"/>
      <c r="EL70" s="95"/>
      <c r="EM70" s="95"/>
      <c r="EN70" s="95"/>
      <c r="EO70" s="95"/>
      <c r="EP70" s="95"/>
      <c r="EQ70" s="95"/>
      <c r="ER70" s="95"/>
      <c r="ES70" s="95"/>
      <c r="ET70" s="95"/>
      <c r="EU70" s="95"/>
      <c r="EV70" s="95"/>
      <c r="EW70" s="95"/>
      <c r="EX70" s="95"/>
      <c r="EY70" s="95"/>
      <c r="EZ70" s="95"/>
      <c r="FA70" s="95"/>
      <c r="FB70" s="95"/>
      <c r="FC70" s="95"/>
      <c r="FD70" s="95"/>
      <c r="FE70" s="95"/>
      <c r="FF70" s="95"/>
      <c r="FG70" s="95"/>
      <c r="FH70" s="95"/>
      <c r="FI70" s="95"/>
      <c r="FJ70" s="95"/>
      <c r="FK70" s="95"/>
      <c r="FL70" s="95"/>
      <c r="FM70" s="95"/>
      <c r="FN70" s="95"/>
      <c r="FO70" s="95"/>
      <c r="FP70" s="95"/>
      <c r="FQ70" s="95"/>
      <c r="FR70" s="95"/>
      <c r="FS70" s="95"/>
      <c r="FT70" s="95"/>
      <c r="FU70" s="95"/>
      <c r="FV70" s="95"/>
      <c r="FW70" s="95"/>
      <c r="FX70" s="95"/>
      <c r="FY70" s="95"/>
      <c r="FZ70" s="95"/>
      <c r="GA70" s="95"/>
      <c r="GB70" s="95"/>
      <c r="GC70" s="95"/>
      <c r="GD70" s="95"/>
      <c r="GE70" s="95"/>
      <c r="GF70" s="95"/>
      <c r="GG70" s="95"/>
      <c r="GH70" s="95"/>
      <c r="GI70" s="95"/>
      <c r="GJ70" s="95"/>
      <c r="GK70" s="95"/>
      <c r="GL70" s="95"/>
      <c r="GM70" s="95"/>
      <c r="GN70" s="95"/>
      <c r="GO70" s="95"/>
      <c r="GP70" s="95"/>
      <c r="GQ70" s="95"/>
      <c r="GR70" s="95"/>
      <c r="GS70" s="95"/>
      <c r="GT70" s="95"/>
      <c r="GU70" s="95"/>
      <c r="GV70" s="95"/>
      <c r="GW70" s="95"/>
      <c r="GX70" s="95"/>
      <c r="GY70" s="95"/>
      <c r="GZ70" s="95"/>
      <c r="HA70" s="95"/>
      <c r="HB70" s="95"/>
      <c r="HC70" s="95"/>
      <c r="HD70" s="95"/>
      <c r="HE70" s="95"/>
      <c r="HF70" s="95"/>
      <c r="HG70" s="95"/>
      <c r="HH70" s="95"/>
      <c r="HI70" s="95"/>
      <c r="HJ70" s="95"/>
      <c r="HK70" s="95"/>
      <c r="HL70" s="95"/>
      <c r="HM70" s="95"/>
      <c r="HN70" s="95"/>
      <c r="HO70" s="95"/>
      <c r="HP70" s="95"/>
      <c r="HQ70" s="95"/>
      <c r="HR70" s="95"/>
      <c r="HS70" s="95"/>
      <c r="HT70" s="95"/>
      <c r="HU70" s="95"/>
      <c r="HV70" s="95"/>
      <c r="HW70" s="95"/>
      <c r="HX70" s="95"/>
      <c r="HY70" s="95"/>
      <c r="HZ70" s="95"/>
      <c r="IA70" s="95"/>
      <c r="IB70" s="95"/>
      <c r="IC70" s="95"/>
      <c r="ID70" s="95"/>
      <c r="IE70" s="95"/>
      <c r="IF70" s="95"/>
      <c r="IG70" s="95"/>
      <c r="IH70" s="95"/>
      <c r="II70" s="95"/>
      <c r="IJ70" s="95"/>
      <c r="IK70" s="95"/>
      <c r="IL70" s="95"/>
      <c r="IM70" s="95"/>
      <c r="IN70" s="95"/>
      <c r="IO70" s="95"/>
      <c r="IP70" s="95"/>
      <c r="IQ70" s="95"/>
      <c r="IR70" s="95"/>
      <c r="IS70" s="95"/>
      <c r="IT70" s="95"/>
      <c r="IU70" s="95"/>
      <c r="IV70" s="95"/>
    </row>
    <row r="71" spans="1:256" s="139" customFormat="1" ht="13.5" customHeight="1">
      <c r="A71" s="42"/>
      <c r="B71" s="39"/>
      <c r="C71" s="10"/>
      <c r="D71" s="36" t="s">
        <v>231</v>
      </c>
      <c r="E71" s="10"/>
      <c r="F71" s="37"/>
      <c r="G71" s="48"/>
      <c r="H71" s="48"/>
      <c r="I71" s="137"/>
      <c r="J71" s="138"/>
      <c r="K71" s="136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5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/>
      <c r="BF71" s="95"/>
      <c r="BG71" s="95"/>
      <c r="BH71" s="95"/>
      <c r="BI71" s="95"/>
      <c r="BJ71" s="95"/>
      <c r="BK71" s="95"/>
      <c r="BL71" s="95"/>
      <c r="BM71" s="95"/>
      <c r="BN71" s="95"/>
      <c r="BO71" s="95"/>
      <c r="BP71" s="95"/>
      <c r="BQ71" s="95"/>
      <c r="BR71" s="95"/>
      <c r="BS71" s="95"/>
      <c r="BT71" s="95"/>
      <c r="BU71" s="95"/>
      <c r="BV71" s="95"/>
      <c r="BW71" s="95"/>
      <c r="BX71" s="95"/>
      <c r="BY71" s="95"/>
      <c r="BZ71" s="95"/>
      <c r="CA71" s="95"/>
      <c r="CB71" s="95"/>
      <c r="CC71" s="95"/>
      <c r="CD71" s="95"/>
      <c r="CE71" s="95"/>
      <c r="CF71" s="95"/>
      <c r="CG71" s="95"/>
      <c r="CH71" s="95"/>
      <c r="CI71" s="95"/>
      <c r="CJ71" s="95"/>
      <c r="CK71" s="95"/>
      <c r="CL71" s="95"/>
      <c r="CM71" s="95"/>
      <c r="CN71" s="95"/>
      <c r="CO71" s="95"/>
      <c r="CP71" s="95"/>
      <c r="CQ71" s="95"/>
      <c r="CR71" s="95"/>
      <c r="CS71" s="95"/>
      <c r="CT71" s="95"/>
      <c r="CU71" s="95"/>
      <c r="CV71" s="95"/>
      <c r="CW71" s="95"/>
      <c r="CX71" s="95"/>
      <c r="CY71" s="95"/>
      <c r="CZ71" s="95"/>
      <c r="DA71" s="95"/>
      <c r="DB71" s="95"/>
      <c r="DC71" s="95"/>
      <c r="DD71" s="95"/>
      <c r="DE71" s="95"/>
      <c r="DF71" s="95"/>
      <c r="DG71" s="95"/>
      <c r="DH71" s="95"/>
      <c r="DI71" s="95"/>
      <c r="DJ71" s="95"/>
      <c r="DK71" s="95"/>
      <c r="DL71" s="95"/>
      <c r="DM71" s="95"/>
      <c r="DN71" s="95"/>
      <c r="DO71" s="95"/>
      <c r="DP71" s="95"/>
      <c r="DQ71" s="95"/>
      <c r="DR71" s="95"/>
      <c r="DS71" s="95"/>
      <c r="DT71" s="95"/>
      <c r="DU71" s="95"/>
      <c r="DV71" s="95"/>
      <c r="DW71" s="95"/>
      <c r="DX71" s="95"/>
      <c r="DY71" s="95"/>
      <c r="DZ71" s="95"/>
      <c r="EA71" s="95"/>
      <c r="EB71" s="95"/>
      <c r="EC71" s="95"/>
      <c r="ED71" s="95"/>
      <c r="EE71" s="95"/>
      <c r="EF71" s="95"/>
      <c r="EG71" s="95"/>
      <c r="EH71" s="95"/>
      <c r="EI71" s="95"/>
      <c r="EJ71" s="95"/>
      <c r="EK71" s="95"/>
      <c r="EL71" s="95"/>
      <c r="EM71" s="95"/>
      <c r="EN71" s="95"/>
      <c r="EO71" s="95"/>
      <c r="EP71" s="95"/>
      <c r="EQ71" s="95"/>
      <c r="ER71" s="95"/>
      <c r="ES71" s="95"/>
      <c r="ET71" s="95"/>
      <c r="EU71" s="95"/>
      <c r="EV71" s="95"/>
      <c r="EW71" s="95"/>
      <c r="EX71" s="95"/>
      <c r="EY71" s="95"/>
      <c r="EZ71" s="95"/>
      <c r="FA71" s="95"/>
      <c r="FB71" s="95"/>
      <c r="FC71" s="95"/>
      <c r="FD71" s="95"/>
      <c r="FE71" s="95"/>
      <c r="FF71" s="95"/>
      <c r="FG71" s="95"/>
      <c r="FH71" s="95"/>
      <c r="FI71" s="95"/>
      <c r="FJ71" s="95"/>
      <c r="FK71" s="95"/>
      <c r="FL71" s="95"/>
      <c r="FM71" s="95"/>
      <c r="FN71" s="95"/>
      <c r="FO71" s="95"/>
      <c r="FP71" s="95"/>
      <c r="FQ71" s="95"/>
      <c r="FR71" s="95"/>
      <c r="FS71" s="95"/>
      <c r="FT71" s="95"/>
      <c r="FU71" s="95"/>
      <c r="FV71" s="95"/>
      <c r="FW71" s="95"/>
      <c r="FX71" s="95"/>
      <c r="FY71" s="95"/>
      <c r="FZ71" s="95"/>
      <c r="GA71" s="95"/>
      <c r="GB71" s="95"/>
      <c r="GC71" s="95"/>
      <c r="GD71" s="95"/>
      <c r="GE71" s="95"/>
      <c r="GF71" s="95"/>
      <c r="GG71" s="95"/>
      <c r="GH71" s="95"/>
      <c r="GI71" s="95"/>
      <c r="GJ71" s="95"/>
      <c r="GK71" s="95"/>
      <c r="GL71" s="95"/>
      <c r="GM71" s="95"/>
      <c r="GN71" s="95"/>
      <c r="GO71" s="95"/>
      <c r="GP71" s="95"/>
      <c r="GQ71" s="95"/>
      <c r="GR71" s="95"/>
      <c r="GS71" s="95"/>
      <c r="GT71" s="95"/>
      <c r="GU71" s="95"/>
      <c r="GV71" s="95"/>
      <c r="GW71" s="95"/>
      <c r="GX71" s="95"/>
      <c r="GY71" s="95"/>
      <c r="GZ71" s="95"/>
      <c r="HA71" s="95"/>
      <c r="HB71" s="95"/>
      <c r="HC71" s="95"/>
      <c r="HD71" s="95"/>
      <c r="HE71" s="95"/>
      <c r="HF71" s="95"/>
      <c r="HG71" s="95"/>
      <c r="HH71" s="95"/>
      <c r="HI71" s="95"/>
      <c r="HJ71" s="95"/>
      <c r="HK71" s="95"/>
      <c r="HL71" s="95"/>
      <c r="HM71" s="95"/>
      <c r="HN71" s="95"/>
      <c r="HO71" s="95"/>
      <c r="HP71" s="95"/>
      <c r="HQ71" s="95"/>
      <c r="HR71" s="95"/>
      <c r="HS71" s="95"/>
      <c r="HT71" s="95"/>
      <c r="HU71" s="95"/>
      <c r="HV71" s="95"/>
      <c r="HW71" s="95"/>
      <c r="HX71" s="95"/>
      <c r="HY71" s="95"/>
      <c r="HZ71" s="95"/>
      <c r="IA71" s="95"/>
      <c r="IB71" s="95"/>
      <c r="IC71" s="95"/>
      <c r="ID71" s="95"/>
      <c r="IE71" s="95"/>
      <c r="IF71" s="95"/>
      <c r="IG71" s="95"/>
      <c r="IH71" s="95"/>
      <c r="II71" s="95"/>
      <c r="IJ71" s="95"/>
      <c r="IK71" s="95"/>
      <c r="IL71" s="95"/>
      <c r="IM71" s="95"/>
      <c r="IN71" s="95"/>
      <c r="IO71" s="95"/>
      <c r="IP71" s="95"/>
      <c r="IQ71" s="95"/>
      <c r="IR71" s="95"/>
      <c r="IS71" s="95"/>
      <c r="IT71" s="95"/>
      <c r="IU71" s="95"/>
      <c r="IV71" s="95"/>
    </row>
    <row r="72" spans="1:256" s="95" customFormat="1" ht="13.5" customHeight="1">
      <c r="A72" s="42">
        <v>10</v>
      </c>
      <c r="B72" s="39" t="s">
        <v>75</v>
      </c>
      <c r="C72" s="10" t="s">
        <v>420</v>
      </c>
      <c r="D72" s="10" t="s">
        <v>413</v>
      </c>
      <c r="E72" s="10" t="s">
        <v>20</v>
      </c>
      <c r="F72" s="124">
        <f>SUM(F74:F76)</f>
        <v>22.81</v>
      </c>
      <c r="G72" s="459"/>
      <c r="H72" s="48">
        <f>F72*G72</f>
        <v>0</v>
      </c>
      <c r="I72" s="97" t="s">
        <v>262</v>
      </c>
      <c r="J72" s="141"/>
      <c r="K72" s="142"/>
      <c r="L72" s="143"/>
      <c r="M72" s="143"/>
      <c r="N72" s="143"/>
      <c r="O72" s="142"/>
      <c r="P72" s="159"/>
    </row>
    <row r="73" spans="1:256" s="95" customFormat="1" ht="40.5" customHeight="1">
      <c r="A73" s="127"/>
      <c r="B73" s="121"/>
      <c r="C73" s="121"/>
      <c r="D73" s="36" t="s">
        <v>415</v>
      </c>
      <c r="E73" s="10"/>
      <c r="F73" s="37"/>
      <c r="G73" s="123"/>
      <c r="H73" s="123"/>
      <c r="I73" s="128"/>
      <c r="J73" s="141"/>
      <c r="K73" s="142"/>
      <c r="N73" s="74"/>
      <c r="P73" s="159"/>
    </row>
    <row r="74" spans="1:256" s="95" customFormat="1" ht="13.5" customHeight="1">
      <c r="A74" s="127"/>
      <c r="B74" s="121"/>
      <c r="C74" s="121"/>
      <c r="D74" s="131" t="s">
        <v>417</v>
      </c>
      <c r="E74" s="10"/>
      <c r="F74" s="37">
        <f>0.67+0.34+5.43+1.66</f>
        <v>8.1</v>
      </c>
      <c r="G74" s="123"/>
      <c r="H74" s="123"/>
      <c r="I74" s="128"/>
      <c r="J74" s="140"/>
      <c r="N74" s="74"/>
    </row>
    <row r="75" spans="1:256" s="95" customFormat="1" ht="13.5" customHeight="1">
      <c r="A75" s="127"/>
      <c r="B75" s="121"/>
      <c r="C75" s="121"/>
      <c r="D75" s="131" t="s">
        <v>418</v>
      </c>
      <c r="E75" s="10"/>
      <c r="F75" s="37">
        <f>0.37</f>
        <v>0.37</v>
      </c>
      <c r="G75" s="123"/>
      <c r="H75" s="123"/>
      <c r="I75" s="128"/>
      <c r="J75" s="140"/>
      <c r="N75" s="74"/>
    </row>
    <row r="76" spans="1:256" s="95" customFormat="1" ht="13.5" customHeight="1">
      <c r="A76" s="127"/>
      <c r="B76" s="121"/>
      <c r="C76" s="121"/>
      <c r="D76" s="131" t="s">
        <v>419</v>
      </c>
      <c r="E76" s="10"/>
      <c r="F76" s="37">
        <f>1.07+1.61+9.65+2.01</f>
        <v>14.34</v>
      </c>
      <c r="G76" s="123"/>
      <c r="H76" s="123"/>
      <c r="I76" s="128"/>
      <c r="J76" s="148"/>
      <c r="N76" s="74"/>
    </row>
    <row r="77" spans="1:256" s="139" customFormat="1" ht="13.5" customHeight="1">
      <c r="A77" s="42"/>
      <c r="B77" s="39"/>
      <c r="C77" s="10"/>
      <c r="D77" s="36" t="s">
        <v>122</v>
      </c>
      <c r="E77" s="10"/>
      <c r="F77" s="37"/>
      <c r="G77" s="48"/>
      <c r="H77" s="48"/>
      <c r="I77" s="137"/>
      <c r="J77" s="138"/>
      <c r="K77" s="136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  <c r="AF77" s="95"/>
      <c r="AG77" s="95"/>
      <c r="AH77" s="95"/>
      <c r="AI77" s="95"/>
      <c r="AJ77" s="95"/>
      <c r="AK77" s="95"/>
      <c r="AL77" s="95"/>
      <c r="AM77" s="95"/>
      <c r="AN77" s="95"/>
      <c r="AO77" s="95"/>
      <c r="AP77" s="95"/>
      <c r="AQ77" s="95"/>
      <c r="AR77" s="95"/>
      <c r="AS77" s="95"/>
      <c r="AT77" s="95"/>
      <c r="AU77" s="95"/>
      <c r="AV77" s="95"/>
      <c r="AW77" s="95"/>
      <c r="AX77" s="95"/>
      <c r="AY77" s="95"/>
      <c r="AZ77" s="95"/>
      <c r="BA77" s="95"/>
      <c r="BB77" s="95"/>
      <c r="BC77" s="95"/>
      <c r="BD77" s="95"/>
      <c r="BE77" s="95"/>
      <c r="BF77" s="95"/>
      <c r="BG77" s="95"/>
      <c r="BH77" s="95"/>
      <c r="BI77" s="95"/>
      <c r="BJ77" s="95"/>
      <c r="BK77" s="95"/>
      <c r="BL77" s="95"/>
      <c r="BM77" s="95"/>
      <c r="BN77" s="95"/>
      <c r="BO77" s="95"/>
      <c r="BP77" s="95"/>
      <c r="BQ77" s="95"/>
      <c r="BR77" s="95"/>
      <c r="BS77" s="95"/>
      <c r="BT77" s="95"/>
      <c r="BU77" s="95"/>
      <c r="BV77" s="95"/>
      <c r="BW77" s="95"/>
      <c r="BX77" s="95"/>
      <c r="BY77" s="95"/>
      <c r="BZ77" s="95"/>
      <c r="CA77" s="95"/>
      <c r="CB77" s="95"/>
      <c r="CC77" s="95"/>
      <c r="CD77" s="95"/>
      <c r="CE77" s="95"/>
      <c r="CF77" s="95"/>
      <c r="CG77" s="95"/>
      <c r="CH77" s="95"/>
      <c r="CI77" s="95"/>
      <c r="CJ77" s="95"/>
      <c r="CK77" s="95"/>
      <c r="CL77" s="95"/>
      <c r="CM77" s="95"/>
      <c r="CN77" s="95"/>
      <c r="CO77" s="95"/>
      <c r="CP77" s="95"/>
      <c r="CQ77" s="95"/>
      <c r="CR77" s="95"/>
      <c r="CS77" s="95"/>
      <c r="CT77" s="95"/>
      <c r="CU77" s="95"/>
      <c r="CV77" s="95"/>
      <c r="CW77" s="95"/>
      <c r="CX77" s="95"/>
      <c r="CY77" s="95"/>
      <c r="CZ77" s="95"/>
      <c r="DA77" s="95"/>
      <c r="DB77" s="95"/>
      <c r="DC77" s="95"/>
      <c r="DD77" s="95"/>
      <c r="DE77" s="95"/>
      <c r="DF77" s="95"/>
      <c r="DG77" s="95"/>
      <c r="DH77" s="95"/>
      <c r="DI77" s="95"/>
      <c r="DJ77" s="95"/>
      <c r="DK77" s="95"/>
      <c r="DL77" s="95"/>
      <c r="DM77" s="95"/>
      <c r="DN77" s="95"/>
      <c r="DO77" s="95"/>
      <c r="DP77" s="95"/>
      <c r="DQ77" s="95"/>
      <c r="DR77" s="95"/>
      <c r="DS77" s="95"/>
      <c r="DT77" s="95"/>
      <c r="DU77" s="95"/>
      <c r="DV77" s="95"/>
      <c r="DW77" s="95"/>
      <c r="DX77" s="95"/>
      <c r="DY77" s="95"/>
      <c r="DZ77" s="95"/>
      <c r="EA77" s="95"/>
      <c r="EB77" s="95"/>
      <c r="EC77" s="95"/>
      <c r="ED77" s="95"/>
      <c r="EE77" s="95"/>
      <c r="EF77" s="95"/>
      <c r="EG77" s="95"/>
      <c r="EH77" s="95"/>
      <c r="EI77" s="95"/>
      <c r="EJ77" s="95"/>
      <c r="EK77" s="95"/>
      <c r="EL77" s="95"/>
      <c r="EM77" s="95"/>
      <c r="EN77" s="95"/>
      <c r="EO77" s="95"/>
      <c r="EP77" s="95"/>
      <c r="EQ77" s="95"/>
      <c r="ER77" s="95"/>
      <c r="ES77" s="95"/>
      <c r="ET77" s="95"/>
      <c r="EU77" s="95"/>
      <c r="EV77" s="95"/>
      <c r="EW77" s="95"/>
      <c r="EX77" s="95"/>
      <c r="EY77" s="95"/>
      <c r="EZ77" s="95"/>
      <c r="FA77" s="95"/>
      <c r="FB77" s="95"/>
      <c r="FC77" s="95"/>
      <c r="FD77" s="95"/>
      <c r="FE77" s="95"/>
      <c r="FF77" s="95"/>
      <c r="FG77" s="95"/>
      <c r="FH77" s="95"/>
      <c r="FI77" s="95"/>
      <c r="FJ77" s="95"/>
      <c r="FK77" s="95"/>
      <c r="FL77" s="95"/>
      <c r="FM77" s="95"/>
      <c r="FN77" s="95"/>
      <c r="FO77" s="95"/>
      <c r="FP77" s="95"/>
      <c r="FQ77" s="95"/>
      <c r="FR77" s="95"/>
      <c r="FS77" s="95"/>
      <c r="FT77" s="95"/>
      <c r="FU77" s="95"/>
      <c r="FV77" s="95"/>
      <c r="FW77" s="95"/>
      <c r="FX77" s="95"/>
      <c r="FY77" s="95"/>
      <c r="FZ77" s="95"/>
      <c r="GA77" s="95"/>
      <c r="GB77" s="95"/>
      <c r="GC77" s="95"/>
      <c r="GD77" s="95"/>
      <c r="GE77" s="95"/>
      <c r="GF77" s="95"/>
      <c r="GG77" s="95"/>
      <c r="GH77" s="95"/>
      <c r="GI77" s="95"/>
      <c r="GJ77" s="95"/>
      <c r="GK77" s="95"/>
      <c r="GL77" s="95"/>
      <c r="GM77" s="95"/>
      <c r="GN77" s="95"/>
      <c r="GO77" s="95"/>
      <c r="GP77" s="95"/>
      <c r="GQ77" s="95"/>
      <c r="GR77" s="95"/>
      <c r="GS77" s="95"/>
      <c r="GT77" s="95"/>
      <c r="GU77" s="95"/>
      <c r="GV77" s="95"/>
      <c r="GW77" s="95"/>
      <c r="GX77" s="95"/>
      <c r="GY77" s="95"/>
      <c r="GZ77" s="95"/>
      <c r="HA77" s="95"/>
      <c r="HB77" s="95"/>
      <c r="HC77" s="95"/>
      <c r="HD77" s="95"/>
      <c r="HE77" s="95"/>
      <c r="HF77" s="95"/>
      <c r="HG77" s="95"/>
      <c r="HH77" s="95"/>
      <c r="HI77" s="95"/>
      <c r="HJ77" s="95"/>
      <c r="HK77" s="95"/>
      <c r="HL77" s="95"/>
      <c r="HM77" s="95"/>
      <c r="HN77" s="95"/>
      <c r="HO77" s="95"/>
      <c r="HP77" s="95"/>
      <c r="HQ77" s="95"/>
      <c r="HR77" s="95"/>
      <c r="HS77" s="95"/>
      <c r="HT77" s="95"/>
      <c r="HU77" s="95"/>
      <c r="HV77" s="95"/>
      <c r="HW77" s="95"/>
      <c r="HX77" s="95"/>
      <c r="HY77" s="95"/>
      <c r="HZ77" s="95"/>
      <c r="IA77" s="95"/>
      <c r="IB77" s="95"/>
      <c r="IC77" s="95"/>
      <c r="ID77" s="95"/>
      <c r="IE77" s="95"/>
      <c r="IF77" s="95"/>
      <c r="IG77" s="95"/>
      <c r="IH77" s="95"/>
      <c r="II77" s="95"/>
      <c r="IJ77" s="95"/>
      <c r="IK77" s="95"/>
      <c r="IL77" s="95"/>
      <c r="IM77" s="95"/>
      <c r="IN77" s="95"/>
      <c r="IO77" s="95"/>
      <c r="IP77" s="95"/>
      <c r="IQ77" s="95"/>
      <c r="IR77" s="95"/>
      <c r="IS77" s="95"/>
      <c r="IT77" s="95"/>
      <c r="IU77" s="95"/>
      <c r="IV77" s="95"/>
    </row>
    <row r="78" spans="1:256" s="139" customFormat="1" ht="40.5" customHeight="1">
      <c r="A78" s="42"/>
      <c r="B78" s="39"/>
      <c r="C78" s="10"/>
      <c r="D78" s="36" t="s">
        <v>416</v>
      </c>
      <c r="E78" s="10"/>
      <c r="F78" s="37"/>
      <c r="G78" s="48"/>
      <c r="H78" s="48"/>
      <c r="I78" s="134"/>
      <c r="J78" s="144"/>
      <c r="K78" s="136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  <c r="AP78" s="95"/>
      <c r="AQ78" s="95"/>
      <c r="AR78" s="95"/>
      <c r="AS78" s="95"/>
      <c r="AT78" s="95"/>
      <c r="AU78" s="95"/>
      <c r="AV78" s="95"/>
      <c r="AW78" s="95"/>
      <c r="AX78" s="95"/>
      <c r="AY78" s="95"/>
      <c r="AZ78" s="95"/>
      <c r="BA78" s="95"/>
      <c r="BB78" s="95"/>
      <c r="BC78" s="95"/>
      <c r="BD78" s="95"/>
      <c r="BE78" s="95"/>
      <c r="BF78" s="95"/>
      <c r="BG78" s="95"/>
      <c r="BH78" s="95"/>
      <c r="BI78" s="95"/>
      <c r="BJ78" s="95"/>
      <c r="BK78" s="95"/>
      <c r="BL78" s="95"/>
      <c r="BM78" s="95"/>
      <c r="BN78" s="95"/>
      <c r="BO78" s="95"/>
      <c r="BP78" s="95"/>
      <c r="BQ78" s="95"/>
      <c r="BR78" s="95"/>
      <c r="BS78" s="95"/>
      <c r="BT78" s="95"/>
      <c r="BU78" s="95"/>
      <c r="BV78" s="95"/>
      <c r="BW78" s="95"/>
      <c r="BX78" s="95"/>
      <c r="BY78" s="95"/>
      <c r="BZ78" s="95"/>
      <c r="CA78" s="95"/>
      <c r="CB78" s="95"/>
      <c r="CC78" s="95"/>
      <c r="CD78" s="95"/>
      <c r="CE78" s="95"/>
      <c r="CF78" s="95"/>
      <c r="CG78" s="95"/>
      <c r="CH78" s="95"/>
      <c r="CI78" s="95"/>
      <c r="CJ78" s="95"/>
      <c r="CK78" s="95"/>
      <c r="CL78" s="95"/>
      <c r="CM78" s="95"/>
      <c r="CN78" s="95"/>
      <c r="CO78" s="95"/>
      <c r="CP78" s="95"/>
      <c r="CQ78" s="95"/>
      <c r="CR78" s="95"/>
      <c r="CS78" s="95"/>
      <c r="CT78" s="95"/>
      <c r="CU78" s="95"/>
      <c r="CV78" s="95"/>
      <c r="CW78" s="95"/>
      <c r="CX78" s="95"/>
      <c r="CY78" s="95"/>
      <c r="CZ78" s="95"/>
      <c r="DA78" s="95"/>
      <c r="DB78" s="95"/>
      <c r="DC78" s="95"/>
      <c r="DD78" s="95"/>
      <c r="DE78" s="95"/>
      <c r="DF78" s="95"/>
      <c r="DG78" s="95"/>
      <c r="DH78" s="95"/>
      <c r="DI78" s="95"/>
      <c r="DJ78" s="95"/>
      <c r="DK78" s="95"/>
      <c r="DL78" s="95"/>
      <c r="DM78" s="95"/>
      <c r="DN78" s="95"/>
      <c r="DO78" s="95"/>
      <c r="DP78" s="95"/>
      <c r="DQ78" s="95"/>
      <c r="DR78" s="95"/>
      <c r="DS78" s="95"/>
      <c r="DT78" s="95"/>
      <c r="DU78" s="95"/>
      <c r="DV78" s="95"/>
      <c r="DW78" s="95"/>
      <c r="DX78" s="95"/>
      <c r="DY78" s="95"/>
      <c r="DZ78" s="95"/>
      <c r="EA78" s="95"/>
      <c r="EB78" s="95"/>
      <c r="EC78" s="95"/>
      <c r="ED78" s="95"/>
      <c r="EE78" s="95"/>
      <c r="EF78" s="95"/>
      <c r="EG78" s="95"/>
      <c r="EH78" s="95"/>
      <c r="EI78" s="95"/>
      <c r="EJ78" s="95"/>
      <c r="EK78" s="95"/>
      <c r="EL78" s="95"/>
      <c r="EM78" s="95"/>
      <c r="EN78" s="95"/>
      <c r="EO78" s="95"/>
      <c r="EP78" s="95"/>
      <c r="EQ78" s="95"/>
      <c r="ER78" s="95"/>
      <c r="ES78" s="95"/>
      <c r="ET78" s="95"/>
      <c r="EU78" s="95"/>
      <c r="EV78" s="95"/>
      <c r="EW78" s="95"/>
      <c r="EX78" s="95"/>
      <c r="EY78" s="95"/>
      <c r="EZ78" s="95"/>
      <c r="FA78" s="95"/>
      <c r="FB78" s="95"/>
      <c r="FC78" s="95"/>
      <c r="FD78" s="95"/>
      <c r="FE78" s="95"/>
      <c r="FF78" s="95"/>
      <c r="FG78" s="95"/>
      <c r="FH78" s="95"/>
      <c r="FI78" s="95"/>
      <c r="FJ78" s="95"/>
      <c r="FK78" s="95"/>
      <c r="FL78" s="95"/>
      <c r="FM78" s="95"/>
      <c r="FN78" s="95"/>
      <c r="FO78" s="95"/>
      <c r="FP78" s="95"/>
      <c r="FQ78" s="95"/>
      <c r="FR78" s="95"/>
      <c r="FS78" s="95"/>
      <c r="FT78" s="95"/>
      <c r="FU78" s="95"/>
      <c r="FV78" s="95"/>
      <c r="FW78" s="95"/>
      <c r="FX78" s="95"/>
      <c r="FY78" s="95"/>
      <c r="FZ78" s="95"/>
      <c r="GA78" s="95"/>
      <c r="GB78" s="95"/>
      <c r="GC78" s="95"/>
      <c r="GD78" s="95"/>
      <c r="GE78" s="95"/>
      <c r="GF78" s="95"/>
      <c r="GG78" s="95"/>
      <c r="GH78" s="95"/>
      <c r="GI78" s="95"/>
      <c r="GJ78" s="95"/>
      <c r="GK78" s="95"/>
      <c r="GL78" s="95"/>
      <c r="GM78" s="95"/>
      <c r="GN78" s="95"/>
      <c r="GO78" s="95"/>
      <c r="GP78" s="95"/>
      <c r="GQ78" s="95"/>
      <c r="GR78" s="95"/>
      <c r="GS78" s="95"/>
      <c r="GT78" s="95"/>
      <c r="GU78" s="95"/>
      <c r="GV78" s="95"/>
      <c r="GW78" s="95"/>
      <c r="GX78" s="95"/>
      <c r="GY78" s="95"/>
      <c r="GZ78" s="95"/>
      <c r="HA78" s="95"/>
      <c r="HB78" s="95"/>
      <c r="HC78" s="95"/>
      <c r="HD78" s="95"/>
      <c r="HE78" s="95"/>
      <c r="HF78" s="95"/>
      <c r="HG78" s="95"/>
      <c r="HH78" s="95"/>
      <c r="HI78" s="95"/>
      <c r="HJ78" s="95"/>
      <c r="HK78" s="95"/>
      <c r="HL78" s="95"/>
      <c r="HM78" s="95"/>
      <c r="HN78" s="95"/>
      <c r="HO78" s="95"/>
      <c r="HP78" s="95"/>
      <c r="HQ78" s="95"/>
      <c r="HR78" s="95"/>
      <c r="HS78" s="95"/>
      <c r="HT78" s="95"/>
      <c r="HU78" s="95"/>
      <c r="HV78" s="95"/>
      <c r="HW78" s="95"/>
      <c r="HX78" s="95"/>
      <c r="HY78" s="95"/>
      <c r="HZ78" s="95"/>
      <c r="IA78" s="95"/>
      <c r="IB78" s="95"/>
      <c r="IC78" s="95"/>
      <c r="ID78" s="95"/>
      <c r="IE78" s="95"/>
      <c r="IF78" s="95"/>
      <c r="IG78" s="95"/>
      <c r="IH78" s="95"/>
      <c r="II78" s="95"/>
      <c r="IJ78" s="95"/>
      <c r="IK78" s="95"/>
      <c r="IL78" s="95"/>
      <c r="IM78" s="95"/>
      <c r="IN78" s="95"/>
      <c r="IO78" s="95"/>
      <c r="IP78" s="95"/>
      <c r="IQ78" s="95"/>
      <c r="IR78" s="95"/>
      <c r="IS78" s="95"/>
      <c r="IT78" s="95"/>
      <c r="IU78" s="95"/>
      <c r="IV78" s="95"/>
    </row>
    <row r="79" spans="1:256" ht="13.5" customHeight="1">
      <c r="A79" s="42">
        <v>11</v>
      </c>
      <c r="B79" s="39" t="s">
        <v>34</v>
      </c>
      <c r="C79" s="10" t="s">
        <v>143</v>
      </c>
      <c r="D79" s="10" t="s">
        <v>144</v>
      </c>
      <c r="E79" s="10" t="s">
        <v>32</v>
      </c>
      <c r="F79" s="124">
        <f>SUM(F81:F81)</f>
        <v>136.5</v>
      </c>
      <c r="G79" s="459"/>
      <c r="H79" s="48">
        <f>F79*G79</f>
        <v>0</v>
      </c>
      <c r="I79" s="97" t="s">
        <v>262</v>
      </c>
      <c r="M79" s="109"/>
      <c r="N79" s="109"/>
      <c r="O79" s="109"/>
      <c r="P79" s="160"/>
    </row>
    <row r="80" spans="1:256" ht="13.5" customHeight="1">
      <c r="A80" s="42"/>
      <c r="B80" s="10"/>
      <c r="C80" s="10"/>
      <c r="D80" s="36" t="s">
        <v>145</v>
      </c>
      <c r="E80" s="10"/>
      <c r="F80" s="37"/>
      <c r="G80" s="48"/>
      <c r="H80" s="48"/>
      <c r="I80" s="97"/>
      <c r="K80" s="109"/>
      <c r="L80" s="109"/>
      <c r="M80" s="109"/>
      <c r="O80" s="109"/>
      <c r="P80" s="160"/>
    </row>
    <row r="81" spans="1:16" ht="13.5" customHeight="1">
      <c r="A81" s="42"/>
      <c r="B81" s="10"/>
      <c r="C81" s="10"/>
      <c r="D81" s="36" t="s">
        <v>421</v>
      </c>
      <c r="E81" s="10"/>
      <c r="F81" s="37">
        <f>(130)*1.05</f>
        <v>136.5</v>
      </c>
      <c r="G81" s="48"/>
      <c r="H81" s="48"/>
      <c r="I81" s="97"/>
      <c r="J81" s="161"/>
      <c r="K81" s="109"/>
      <c r="L81" s="109"/>
      <c r="M81" s="160"/>
      <c r="N81" s="162"/>
      <c r="O81" s="109"/>
      <c r="P81" s="109"/>
    </row>
    <row r="82" spans="1:16" ht="40.5" customHeight="1">
      <c r="A82" s="42"/>
      <c r="B82" s="10"/>
      <c r="C82" s="10"/>
      <c r="D82" s="36" t="s">
        <v>148</v>
      </c>
      <c r="E82" s="10"/>
      <c r="F82" s="37"/>
      <c r="G82" s="48"/>
      <c r="H82" s="48"/>
      <c r="I82" s="97"/>
      <c r="J82" s="162"/>
      <c r="K82" s="109"/>
      <c r="L82" s="109"/>
      <c r="M82" s="109"/>
      <c r="N82" s="109"/>
      <c r="O82" s="109"/>
      <c r="P82" s="109"/>
    </row>
    <row r="83" spans="1:16" s="95" customFormat="1" ht="13.5" customHeight="1">
      <c r="A83" s="42">
        <v>12</v>
      </c>
      <c r="B83" s="39" t="s">
        <v>34</v>
      </c>
      <c r="C83" s="10" t="s">
        <v>137</v>
      </c>
      <c r="D83" s="10" t="s">
        <v>223</v>
      </c>
      <c r="E83" s="10" t="s">
        <v>20</v>
      </c>
      <c r="F83" s="96">
        <f>SUM(F85:F86)</f>
        <v>26.434000000000005</v>
      </c>
      <c r="G83" s="459"/>
      <c r="H83" s="48">
        <f>F83*G83</f>
        <v>0</v>
      </c>
      <c r="I83" s="97" t="s">
        <v>262</v>
      </c>
      <c r="J83" s="148"/>
    </row>
    <row r="84" spans="1:16" s="95" customFormat="1" ht="81" customHeight="1">
      <c r="A84" s="42"/>
      <c r="B84" s="39"/>
      <c r="C84" s="10"/>
      <c r="D84" s="163" t="s">
        <v>400</v>
      </c>
      <c r="E84" s="10"/>
      <c r="F84" s="164"/>
      <c r="G84" s="48"/>
      <c r="H84" s="48"/>
      <c r="I84" s="97"/>
    </row>
    <row r="85" spans="1:16" s="95" customFormat="1" ht="13.5" customHeight="1">
      <c r="A85" s="42"/>
      <c r="B85" s="39"/>
      <c r="C85" s="10"/>
      <c r="D85" s="36" t="s">
        <v>399</v>
      </c>
      <c r="E85" s="10"/>
      <c r="F85" s="164">
        <f>25.594</f>
        <v>25.594000000000001</v>
      </c>
      <c r="G85" s="48"/>
      <c r="H85" s="48"/>
      <c r="I85" s="165"/>
      <c r="J85" s="166"/>
      <c r="M85" s="167"/>
    </row>
    <row r="86" spans="1:16" s="95" customFormat="1" ht="27" customHeight="1">
      <c r="A86" s="42"/>
      <c r="B86" s="39"/>
      <c r="C86" s="10"/>
      <c r="D86" s="36" t="s">
        <v>398</v>
      </c>
      <c r="E86" s="10"/>
      <c r="F86" s="164">
        <f>(38.9)-(1.91+7.14+9.29+15.5+4.22)</f>
        <v>0.84000000000000341</v>
      </c>
      <c r="G86" s="48"/>
      <c r="H86" s="48"/>
      <c r="I86" s="165"/>
      <c r="J86" s="166"/>
    </row>
    <row r="87" spans="1:16" s="95" customFormat="1" ht="27" customHeight="1">
      <c r="A87" s="42"/>
      <c r="B87" s="39"/>
      <c r="C87" s="10"/>
      <c r="D87" s="36" t="s">
        <v>401</v>
      </c>
      <c r="E87" s="10"/>
      <c r="F87" s="164"/>
      <c r="G87" s="48"/>
      <c r="H87" s="48"/>
      <c r="I87" s="165"/>
      <c r="J87" s="166"/>
    </row>
    <row r="88" spans="1:16" s="95" customFormat="1" ht="13.5" customHeight="1">
      <c r="A88" s="42"/>
      <c r="B88" s="39"/>
      <c r="C88" s="10"/>
      <c r="D88" s="36" t="s">
        <v>175</v>
      </c>
      <c r="E88" s="10"/>
      <c r="F88" s="164"/>
      <c r="G88" s="48"/>
      <c r="H88" s="48"/>
      <c r="I88" s="165"/>
      <c r="J88" s="166"/>
    </row>
    <row r="89" spans="1:16" s="95" customFormat="1" ht="27" customHeight="1">
      <c r="A89" s="42">
        <v>13</v>
      </c>
      <c r="B89" s="39" t="s">
        <v>34</v>
      </c>
      <c r="C89" s="10" t="s">
        <v>530</v>
      </c>
      <c r="D89" s="10" t="s">
        <v>528</v>
      </c>
      <c r="E89" s="10" t="s">
        <v>23</v>
      </c>
      <c r="F89" s="96">
        <f>SUM(F92:F92)</f>
        <v>1</v>
      </c>
      <c r="G89" s="459"/>
      <c r="H89" s="48">
        <f>F89*G89</f>
        <v>0</v>
      </c>
      <c r="I89" s="97" t="s">
        <v>262</v>
      </c>
      <c r="J89" s="148"/>
    </row>
    <row r="90" spans="1:16" s="95" customFormat="1" ht="27" customHeight="1">
      <c r="A90" s="42"/>
      <c r="B90" s="39"/>
      <c r="C90" s="10"/>
      <c r="D90" s="36" t="s">
        <v>531</v>
      </c>
      <c r="E90" s="10"/>
      <c r="F90" s="164"/>
      <c r="G90" s="48"/>
      <c r="H90" s="48"/>
      <c r="I90" s="165"/>
      <c r="J90" s="166"/>
      <c r="M90" s="167"/>
    </row>
    <row r="91" spans="1:16" s="95" customFormat="1" ht="67.5" customHeight="1">
      <c r="A91" s="42"/>
      <c r="B91" s="39"/>
      <c r="C91" s="10"/>
      <c r="D91" s="163" t="s">
        <v>529</v>
      </c>
      <c r="E91" s="10"/>
      <c r="F91" s="164"/>
      <c r="G91" s="48"/>
      <c r="H91" s="48"/>
      <c r="I91" s="97"/>
      <c r="J91" s="143"/>
    </row>
    <row r="92" spans="1:16" s="95" customFormat="1" ht="27" customHeight="1">
      <c r="A92" s="42"/>
      <c r="B92" s="39"/>
      <c r="C92" s="10"/>
      <c r="D92" s="36" t="s">
        <v>532</v>
      </c>
      <c r="E92" s="10"/>
      <c r="F92" s="164">
        <v>1</v>
      </c>
      <c r="G92" s="48"/>
      <c r="H92" s="48"/>
      <c r="I92" s="165"/>
      <c r="J92" s="166"/>
      <c r="M92" s="167"/>
    </row>
    <row r="93" spans="1:16" s="95" customFormat="1" ht="27" customHeight="1">
      <c r="A93" s="42"/>
      <c r="B93" s="39"/>
      <c r="C93" s="10"/>
      <c r="D93" s="36" t="s">
        <v>401</v>
      </c>
      <c r="E93" s="10"/>
      <c r="F93" s="164"/>
      <c r="G93" s="48"/>
      <c r="H93" s="48"/>
      <c r="I93" s="165"/>
      <c r="J93" s="166"/>
    </row>
    <row r="94" spans="1:16" s="95" customFormat="1" ht="13.5" customHeight="1">
      <c r="A94" s="42"/>
      <c r="B94" s="39"/>
      <c r="C94" s="10"/>
      <c r="D94" s="36" t="s">
        <v>175</v>
      </c>
      <c r="E94" s="10"/>
      <c r="F94" s="164"/>
      <c r="G94" s="48"/>
      <c r="H94" s="48"/>
      <c r="I94" s="165"/>
      <c r="J94" s="166"/>
    </row>
    <row r="95" spans="1:16" s="95" customFormat="1" ht="27" customHeight="1">
      <c r="A95" s="42">
        <v>14</v>
      </c>
      <c r="B95" s="39" t="s">
        <v>34</v>
      </c>
      <c r="C95" s="10" t="s">
        <v>170</v>
      </c>
      <c r="D95" s="10" t="s">
        <v>168</v>
      </c>
      <c r="E95" s="10" t="s">
        <v>23</v>
      </c>
      <c r="F95" s="96">
        <f>SUM(F96)</f>
        <v>1</v>
      </c>
      <c r="G95" s="459"/>
      <c r="H95" s="48">
        <f>F95*G95</f>
        <v>0</v>
      </c>
      <c r="I95" s="97" t="s">
        <v>181</v>
      </c>
      <c r="J95" s="168"/>
    </row>
    <row r="96" spans="1:16" s="95" customFormat="1" ht="13.5" customHeight="1">
      <c r="A96" s="42"/>
      <c r="B96" s="39"/>
      <c r="C96" s="10"/>
      <c r="D96" s="36" t="s">
        <v>169</v>
      </c>
      <c r="E96" s="10"/>
      <c r="F96" s="164">
        <v>1</v>
      </c>
      <c r="G96" s="48"/>
      <c r="H96" s="48"/>
      <c r="I96" s="97"/>
      <c r="J96" s="94"/>
    </row>
    <row r="97" spans="1:256" s="95" customFormat="1" ht="94.5" customHeight="1">
      <c r="A97" s="42"/>
      <c r="B97" s="39"/>
      <c r="C97" s="10"/>
      <c r="D97" s="163" t="s">
        <v>466</v>
      </c>
      <c r="E97" s="10"/>
      <c r="F97" s="164"/>
      <c r="G97" s="48"/>
      <c r="H97" s="48"/>
      <c r="I97" s="169"/>
      <c r="J97" s="94"/>
    </row>
    <row r="98" spans="1:256" s="95" customFormat="1" ht="54" customHeight="1">
      <c r="A98" s="42"/>
      <c r="B98" s="39"/>
      <c r="C98" s="10"/>
      <c r="D98" s="36" t="s">
        <v>171</v>
      </c>
      <c r="E98" s="10"/>
      <c r="F98" s="96"/>
      <c r="G98" s="48"/>
      <c r="H98" s="48"/>
      <c r="I98" s="97"/>
      <c r="J98" s="170"/>
      <c r="L98" s="171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</row>
    <row r="99" spans="1:256" s="95" customFormat="1" ht="67.5" customHeight="1">
      <c r="A99" s="117"/>
      <c r="B99" s="118"/>
      <c r="C99" s="35"/>
      <c r="D99" s="119" t="s">
        <v>146</v>
      </c>
      <c r="E99" s="36"/>
      <c r="G99" s="47"/>
      <c r="H99" s="48"/>
      <c r="I99" s="172"/>
      <c r="J99" s="173"/>
      <c r="K99" s="109"/>
      <c r="L99" s="109"/>
      <c r="M99" s="109"/>
      <c r="N99" s="109"/>
      <c r="O99" s="109"/>
      <c r="P99" s="109"/>
      <c r="Q99" s="111"/>
      <c r="R99" s="74"/>
      <c r="S99" s="74"/>
      <c r="T99" s="74"/>
      <c r="U99" s="74"/>
      <c r="V99" s="74"/>
      <c r="W99" s="74"/>
      <c r="X99" s="74"/>
      <c r="Y99" s="74"/>
      <c r="Z99" s="74"/>
      <c r="AA99" s="74"/>
      <c r="AB99" s="74"/>
      <c r="AC99" s="74"/>
      <c r="AD99" s="74"/>
      <c r="AE99" s="74"/>
      <c r="AF99" s="74"/>
      <c r="AG99" s="74"/>
      <c r="AH99" s="74"/>
      <c r="AI99" s="74"/>
      <c r="AJ99" s="74"/>
      <c r="AK99" s="74"/>
      <c r="AL99" s="74"/>
      <c r="AM99" s="74"/>
      <c r="AN99" s="74"/>
      <c r="AO99" s="74"/>
      <c r="AP99" s="74"/>
      <c r="AQ99" s="74"/>
      <c r="AR99" s="74"/>
      <c r="AS99" s="74"/>
      <c r="AT99" s="74"/>
      <c r="AU99" s="74"/>
      <c r="AV99" s="74"/>
      <c r="AW99" s="74"/>
      <c r="AX99" s="74"/>
      <c r="AY99" s="74"/>
      <c r="AZ99" s="74"/>
      <c r="BA99" s="74"/>
      <c r="BB99" s="74"/>
      <c r="BC99" s="74"/>
      <c r="BD99" s="74"/>
      <c r="BE99" s="74"/>
      <c r="BF99" s="74"/>
      <c r="BG99" s="74"/>
      <c r="BH99" s="74"/>
      <c r="BI99" s="74"/>
      <c r="BJ99" s="74"/>
      <c r="BK99" s="74"/>
      <c r="BL99" s="74"/>
      <c r="BM99" s="74"/>
      <c r="BN99" s="74"/>
      <c r="BO99" s="74"/>
      <c r="BP99" s="74"/>
      <c r="BQ99" s="74"/>
      <c r="BR99" s="74"/>
      <c r="BS99" s="74"/>
      <c r="BT99" s="74"/>
      <c r="BU99" s="74"/>
      <c r="BV99" s="74"/>
      <c r="BW99" s="74"/>
      <c r="BX99" s="74"/>
      <c r="BY99" s="74"/>
      <c r="BZ99" s="74"/>
      <c r="CA99" s="74"/>
      <c r="CB99" s="74"/>
      <c r="CC99" s="74"/>
      <c r="CD99" s="74"/>
      <c r="CE99" s="74"/>
      <c r="CF99" s="74"/>
      <c r="CG99" s="74"/>
      <c r="CH99" s="74"/>
      <c r="CI99" s="74"/>
      <c r="CJ99" s="74"/>
      <c r="CK99" s="74"/>
      <c r="CL99" s="74"/>
      <c r="CM99" s="74"/>
      <c r="CN99" s="74"/>
      <c r="CO99" s="74"/>
      <c r="CP99" s="74"/>
      <c r="CQ99" s="74"/>
      <c r="CR99" s="74"/>
      <c r="CS99" s="74"/>
      <c r="CT99" s="74"/>
      <c r="CU99" s="74"/>
      <c r="CV99" s="74"/>
      <c r="CW99" s="74"/>
      <c r="CX99" s="74"/>
      <c r="CY99" s="74"/>
      <c r="CZ99" s="74"/>
      <c r="DA99" s="74"/>
      <c r="DB99" s="74"/>
      <c r="DC99" s="74"/>
      <c r="DD99" s="74"/>
      <c r="DE99" s="74"/>
      <c r="DF99" s="74"/>
      <c r="DG99" s="74"/>
      <c r="DH99" s="74"/>
      <c r="DI99" s="74"/>
      <c r="DJ99" s="74"/>
      <c r="DK99" s="74"/>
      <c r="DL99" s="74"/>
      <c r="DM99" s="74"/>
      <c r="DN99" s="74"/>
      <c r="DO99" s="74"/>
      <c r="DP99" s="74"/>
      <c r="DQ99" s="74"/>
      <c r="DR99" s="74"/>
      <c r="DS99" s="74"/>
      <c r="DT99" s="74"/>
      <c r="DU99" s="74"/>
      <c r="DV99" s="74"/>
      <c r="DW99" s="74"/>
      <c r="DX99" s="74"/>
      <c r="DY99" s="74"/>
      <c r="DZ99" s="74"/>
      <c r="EA99" s="74"/>
      <c r="EB99" s="74"/>
      <c r="EC99" s="74"/>
      <c r="ED99" s="74"/>
      <c r="EE99" s="74"/>
      <c r="EF99" s="74"/>
      <c r="EG99" s="74"/>
      <c r="EH99" s="74"/>
      <c r="EI99" s="74"/>
      <c r="EJ99" s="74"/>
      <c r="EK99" s="74"/>
      <c r="EL99" s="74"/>
      <c r="EM99" s="74"/>
      <c r="EN99" s="74"/>
      <c r="EO99" s="74"/>
      <c r="EP99" s="74"/>
      <c r="EQ99" s="74"/>
      <c r="ER99" s="74"/>
      <c r="ES99" s="74"/>
      <c r="ET99" s="74"/>
      <c r="EU99" s="74"/>
      <c r="EV99" s="74"/>
      <c r="EW99" s="74"/>
      <c r="EX99" s="74"/>
      <c r="EY99" s="74"/>
      <c r="EZ99" s="74"/>
      <c r="FA99" s="74"/>
      <c r="FB99" s="74"/>
      <c r="FC99" s="74"/>
      <c r="FD99" s="74"/>
      <c r="FE99" s="74"/>
      <c r="FF99" s="74"/>
      <c r="FG99" s="74"/>
      <c r="FH99" s="74"/>
      <c r="FI99" s="74"/>
      <c r="FJ99" s="74"/>
      <c r="FK99" s="74"/>
      <c r="FL99" s="74"/>
      <c r="FM99" s="74"/>
      <c r="FN99" s="74"/>
      <c r="FO99" s="74"/>
      <c r="FP99" s="74"/>
      <c r="FQ99" s="74"/>
      <c r="FR99" s="74"/>
      <c r="FS99" s="74"/>
      <c r="FT99" s="74"/>
      <c r="FU99" s="74"/>
      <c r="FV99" s="74"/>
      <c r="FW99" s="74"/>
      <c r="FX99" s="74"/>
      <c r="FY99" s="74"/>
      <c r="FZ99" s="74"/>
      <c r="GA99" s="74"/>
      <c r="GB99" s="74"/>
      <c r="GC99" s="74"/>
      <c r="GD99" s="74"/>
      <c r="GE99" s="74"/>
      <c r="GF99" s="74"/>
      <c r="GG99" s="74"/>
      <c r="GH99" s="74"/>
      <c r="GI99" s="74"/>
      <c r="GJ99" s="74"/>
      <c r="GK99" s="74"/>
      <c r="GL99" s="74"/>
      <c r="GM99" s="74"/>
      <c r="GN99" s="74"/>
      <c r="GO99" s="74"/>
      <c r="GP99" s="74"/>
      <c r="GQ99" s="74"/>
      <c r="GR99" s="74"/>
      <c r="GS99" s="74"/>
      <c r="GT99" s="74"/>
      <c r="GU99" s="74"/>
      <c r="GV99" s="74"/>
      <c r="GW99" s="74"/>
      <c r="GX99" s="74"/>
      <c r="GY99" s="74"/>
      <c r="GZ99" s="74"/>
      <c r="HA99" s="74"/>
      <c r="HB99" s="74"/>
      <c r="HC99" s="74"/>
      <c r="HD99" s="74"/>
      <c r="HE99" s="74"/>
      <c r="HF99" s="74"/>
      <c r="HG99" s="74"/>
      <c r="HH99" s="74"/>
      <c r="HI99" s="74"/>
      <c r="HJ99" s="74"/>
      <c r="HK99" s="74"/>
      <c r="HL99" s="74"/>
      <c r="HM99" s="74"/>
      <c r="HN99" s="74"/>
      <c r="HO99" s="74"/>
      <c r="HP99" s="74"/>
      <c r="HQ99" s="74"/>
      <c r="HR99" s="74"/>
      <c r="HS99" s="74"/>
      <c r="HT99" s="74"/>
      <c r="HU99" s="74"/>
      <c r="HV99" s="74"/>
      <c r="HW99" s="74"/>
      <c r="HX99" s="74"/>
      <c r="HY99" s="74"/>
      <c r="HZ99" s="74"/>
      <c r="IA99" s="74"/>
      <c r="IB99" s="74"/>
      <c r="IC99" s="74"/>
      <c r="ID99" s="74"/>
      <c r="IE99" s="74"/>
      <c r="IF99" s="74"/>
      <c r="IG99" s="74"/>
      <c r="IH99" s="74"/>
      <c r="II99" s="74"/>
      <c r="IJ99" s="74"/>
      <c r="IK99" s="74"/>
      <c r="IL99" s="74"/>
      <c r="IM99" s="74"/>
      <c r="IN99" s="74"/>
      <c r="IO99" s="74"/>
      <c r="IP99" s="74"/>
      <c r="IQ99" s="74"/>
      <c r="IR99" s="74"/>
      <c r="IS99" s="74"/>
      <c r="IT99" s="74"/>
      <c r="IU99" s="74"/>
      <c r="IV99" s="74"/>
    </row>
    <row r="100" spans="1:256" s="95" customFormat="1" ht="13.5" customHeight="1">
      <c r="A100" s="120"/>
      <c r="B100" s="87"/>
      <c r="C100" s="87" t="s">
        <v>30</v>
      </c>
      <c r="D100" s="87" t="s">
        <v>24</v>
      </c>
      <c r="E100" s="87"/>
      <c r="F100" s="174"/>
      <c r="G100" s="90"/>
      <c r="H100" s="90">
        <f>SUM(H101:H153,H158)</f>
        <v>0</v>
      </c>
      <c r="I100" s="38"/>
    </row>
    <row r="101" spans="1:256" s="180" customFormat="1" ht="26.25" customHeight="1">
      <c r="A101" s="175">
        <v>15</v>
      </c>
      <c r="B101" s="176" t="s">
        <v>40</v>
      </c>
      <c r="C101" s="177">
        <v>949101111</v>
      </c>
      <c r="D101" s="104" t="s">
        <v>41</v>
      </c>
      <c r="E101" s="104" t="s">
        <v>20</v>
      </c>
      <c r="F101" s="178">
        <f>SUM(F103:F105)</f>
        <v>405.38999999999993</v>
      </c>
      <c r="G101" s="463"/>
      <c r="H101" s="107">
        <f>F101*G101</f>
        <v>0</v>
      </c>
      <c r="I101" s="113" t="s">
        <v>254</v>
      </c>
      <c r="J101" s="179"/>
    </row>
    <row r="102" spans="1:256" s="180" customFormat="1" ht="13.5" customHeight="1">
      <c r="A102" s="175"/>
      <c r="B102" s="176"/>
      <c r="C102" s="177"/>
      <c r="D102" s="181" t="s">
        <v>111</v>
      </c>
      <c r="E102" s="104"/>
      <c r="F102" s="178"/>
      <c r="G102" s="107"/>
      <c r="H102" s="107"/>
      <c r="I102" s="113"/>
    </row>
    <row r="103" spans="1:256" s="180" customFormat="1" ht="40.5" customHeight="1">
      <c r="A103" s="175"/>
      <c r="B103" s="176"/>
      <c r="C103" s="177"/>
      <c r="D103" s="181" t="s">
        <v>259</v>
      </c>
      <c r="E103" s="104"/>
      <c r="F103" s="182">
        <f>38.81+9.29+6.53+16.2+14.52+16.44+15.02+16.83+31.85+35.72+17.43+54.39+18.44+16.63+9.76+21.85+18.06+15.84+25.08</f>
        <v>398.68999999999994</v>
      </c>
      <c r="G103" s="107"/>
      <c r="H103" s="107"/>
      <c r="I103" s="183"/>
      <c r="J103" s="184"/>
    </row>
    <row r="104" spans="1:256" s="180" customFormat="1" ht="13.5" customHeight="1">
      <c r="A104" s="175"/>
      <c r="B104" s="176"/>
      <c r="C104" s="177"/>
      <c r="D104" s="181" t="s">
        <v>256</v>
      </c>
      <c r="E104" s="104"/>
      <c r="F104" s="182">
        <f>5.5</f>
        <v>5.5</v>
      </c>
      <c r="G104" s="107"/>
      <c r="H104" s="107"/>
      <c r="I104" s="183"/>
      <c r="J104" s="184"/>
    </row>
    <row r="105" spans="1:256" s="180" customFormat="1" ht="13.5" customHeight="1">
      <c r="A105" s="175"/>
      <c r="B105" s="176"/>
      <c r="C105" s="177"/>
      <c r="D105" s="181" t="s">
        <v>255</v>
      </c>
      <c r="E105" s="104"/>
      <c r="F105" s="182">
        <f>1.2</f>
        <v>1.2</v>
      </c>
      <c r="G105" s="107"/>
      <c r="H105" s="107"/>
      <c r="I105" s="183"/>
      <c r="J105" s="184"/>
    </row>
    <row r="106" spans="1:256" s="180" customFormat="1" ht="13.5" customHeight="1">
      <c r="A106" s="175"/>
      <c r="B106" s="176"/>
      <c r="C106" s="177"/>
      <c r="D106" s="181" t="s">
        <v>42</v>
      </c>
      <c r="E106" s="104"/>
      <c r="F106" s="178"/>
      <c r="G106" s="107"/>
      <c r="H106" s="107"/>
      <c r="I106" s="113"/>
    </row>
    <row r="107" spans="1:256" s="180" customFormat="1" ht="13.5" customHeight="1">
      <c r="A107" s="175">
        <v>16</v>
      </c>
      <c r="B107" s="176" t="s">
        <v>40</v>
      </c>
      <c r="C107" s="177">
        <v>952901111</v>
      </c>
      <c r="D107" s="104" t="s">
        <v>77</v>
      </c>
      <c r="E107" s="104" t="s">
        <v>20</v>
      </c>
      <c r="F107" s="178">
        <f>SUM(F109:F112)</f>
        <v>605.38999999999987</v>
      </c>
      <c r="G107" s="463"/>
      <c r="H107" s="107">
        <f>F107*G107</f>
        <v>0</v>
      </c>
      <c r="I107" s="113" t="s">
        <v>254</v>
      </c>
      <c r="J107" s="179"/>
    </row>
    <row r="108" spans="1:256" s="180" customFormat="1" ht="13.5" customHeight="1">
      <c r="A108" s="175"/>
      <c r="B108" s="176"/>
      <c r="C108" s="177"/>
      <c r="D108" s="181" t="s">
        <v>112</v>
      </c>
      <c r="E108" s="104"/>
      <c r="F108" s="178"/>
      <c r="G108" s="107"/>
      <c r="H108" s="107"/>
      <c r="I108" s="113"/>
    </row>
    <row r="109" spans="1:256" s="180" customFormat="1" ht="40.5" customHeight="1">
      <c r="A109" s="175"/>
      <c r="B109" s="176"/>
      <c r="C109" s="177"/>
      <c r="D109" s="181" t="s">
        <v>260</v>
      </c>
      <c r="E109" s="104"/>
      <c r="F109" s="182">
        <f>38.81+9.29+6.53+16.2+14.52+16.44+15.02+16.83+31.85+35.72+17.43+54.39+18.44+16.63+9.76+21.85+18.06+15.84+25.08</f>
        <v>398.68999999999994</v>
      </c>
      <c r="G109" s="107"/>
      <c r="H109" s="107"/>
      <c r="I109" s="183"/>
      <c r="J109" s="184"/>
    </row>
    <row r="110" spans="1:256" s="180" customFormat="1" ht="13.5" customHeight="1">
      <c r="A110" s="175"/>
      <c r="B110" s="176"/>
      <c r="C110" s="177"/>
      <c r="D110" s="181" t="s">
        <v>258</v>
      </c>
      <c r="E110" s="104"/>
      <c r="F110" s="182">
        <f>5.5</f>
        <v>5.5</v>
      </c>
      <c r="G110" s="107"/>
      <c r="H110" s="107"/>
      <c r="I110" s="183"/>
      <c r="J110" s="184"/>
    </row>
    <row r="111" spans="1:256" s="180" customFormat="1" ht="13.5" customHeight="1">
      <c r="A111" s="175"/>
      <c r="B111" s="176"/>
      <c r="C111" s="177"/>
      <c r="D111" s="181" t="s">
        <v>257</v>
      </c>
      <c r="E111" s="104"/>
      <c r="F111" s="182">
        <f>1.2</f>
        <v>1.2</v>
      </c>
      <c r="G111" s="107"/>
      <c r="H111" s="107"/>
      <c r="I111" s="183"/>
      <c r="J111" s="184"/>
    </row>
    <row r="112" spans="1:256" s="180" customFormat="1" ht="13.5" customHeight="1">
      <c r="A112" s="175"/>
      <c r="B112" s="176"/>
      <c r="C112" s="177"/>
      <c r="D112" s="181" t="s">
        <v>160</v>
      </c>
      <c r="E112" s="104"/>
      <c r="F112" s="182">
        <v>200</v>
      </c>
      <c r="G112" s="107"/>
      <c r="H112" s="107"/>
      <c r="I112" s="113"/>
    </row>
    <row r="113" spans="1:21" s="180" customFormat="1" ht="26.25" customHeight="1">
      <c r="A113" s="175">
        <v>17</v>
      </c>
      <c r="B113" s="176" t="s">
        <v>34</v>
      </c>
      <c r="C113" s="177" t="s">
        <v>172</v>
      </c>
      <c r="D113" s="104" t="s">
        <v>173</v>
      </c>
      <c r="E113" s="104" t="s">
        <v>32</v>
      </c>
      <c r="F113" s="178">
        <f>SUM(F115:F115)</f>
        <v>168.4</v>
      </c>
      <c r="G113" s="463"/>
      <c r="H113" s="107">
        <f>F113*G113</f>
        <v>0</v>
      </c>
      <c r="I113" s="113" t="s">
        <v>262</v>
      </c>
      <c r="J113" s="179"/>
    </row>
    <row r="114" spans="1:21" s="180" customFormat="1" ht="27" customHeight="1">
      <c r="A114" s="175"/>
      <c r="B114" s="176"/>
      <c r="C114" s="177"/>
      <c r="D114" s="181" t="s">
        <v>174</v>
      </c>
      <c r="E114" s="104"/>
      <c r="F114" s="178"/>
      <c r="G114" s="107"/>
      <c r="H114" s="107"/>
      <c r="I114" s="113"/>
    </row>
    <row r="115" spans="1:21" s="180" customFormat="1" ht="40.5" customHeight="1">
      <c r="A115" s="175"/>
      <c r="B115" s="176"/>
      <c r="C115" s="177"/>
      <c r="D115" s="181" t="s">
        <v>454</v>
      </c>
      <c r="E115" s="104"/>
      <c r="F115" s="185">
        <f>(21.2+2.7+11.8+30.4+5.6+5.6+5.4+5.3+5.3+1.7+5.3+5.3+5.1+1.4+5+4.9+4.9+4.8+4.8+4.8+6)+(2.25+1+1.8+1.3+0.7+0.7)+(5.9+2.5+1.8+2.15+1)</f>
        <v>168.4</v>
      </c>
      <c r="G115" s="107"/>
      <c r="H115" s="107"/>
      <c r="I115" s="113"/>
    </row>
    <row r="116" spans="1:21" s="180" customFormat="1" ht="13.5" customHeight="1">
      <c r="A116" s="175"/>
      <c r="B116" s="176"/>
      <c r="C116" s="177"/>
      <c r="D116" s="181" t="s">
        <v>175</v>
      </c>
      <c r="E116" s="104"/>
      <c r="F116" s="178"/>
      <c r="G116" s="107"/>
      <c r="H116" s="107"/>
      <c r="I116" s="113"/>
      <c r="J116" s="186"/>
    </row>
    <row r="117" spans="1:21" s="180" customFormat="1" ht="13.5" customHeight="1">
      <c r="A117" s="175">
        <v>18</v>
      </c>
      <c r="B117" s="176" t="s">
        <v>34</v>
      </c>
      <c r="C117" s="103" t="s">
        <v>456</v>
      </c>
      <c r="D117" s="104" t="s">
        <v>457</v>
      </c>
      <c r="E117" s="105" t="s">
        <v>441</v>
      </c>
      <c r="F117" s="187">
        <f>SUM(F119)</f>
        <v>130</v>
      </c>
      <c r="G117" s="464"/>
      <c r="H117" s="107">
        <f>F117*G117</f>
        <v>0</v>
      </c>
      <c r="I117" s="97" t="s">
        <v>262</v>
      </c>
      <c r="J117" s="188"/>
      <c r="K117" s="74"/>
      <c r="L117" s="74"/>
      <c r="M117" s="74"/>
      <c r="Q117" s="189"/>
      <c r="R117" s="189"/>
    </row>
    <row r="118" spans="1:21" s="180" customFormat="1" ht="13.5" customHeight="1">
      <c r="A118" s="175"/>
      <c r="B118" s="176"/>
      <c r="C118" s="103"/>
      <c r="D118" s="181" t="s">
        <v>458</v>
      </c>
      <c r="E118" s="105"/>
      <c r="F118" s="182"/>
      <c r="G118" s="187"/>
      <c r="H118" s="107"/>
      <c r="I118" s="113"/>
      <c r="J118" s="190"/>
      <c r="Q118" s="189"/>
      <c r="R118" s="189"/>
    </row>
    <row r="119" spans="1:21" s="180" customFormat="1" ht="13.5" customHeight="1">
      <c r="A119" s="175"/>
      <c r="B119" s="176"/>
      <c r="C119" s="103"/>
      <c r="D119" s="181" t="s">
        <v>460</v>
      </c>
      <c r="E119" s="105"/>
      <c r="F119" s="182">
        <v>130</v>
      </c>
      <c r="G119" s="187"/>
      <c r="H119" s="107"/>
      <c r="I119" s="113"/>
      <c r="J119" s="179"/>
    </row>
    <row r="120" spans="1:21" s="95" customFormat="1" ht="67.5" customHeight="1">
      <c r="A120" s="191"/>
      <c r="B120" s="39"/>
      <c r="C120" s="10"/>
      <c r="D120" s="192" t="s">
        <v>459</v>
      </c>
      <c r="E120" s="10"/>
      <c r="F120" s="164"/>
      <c r="G120" s="48"/>
      <c r="H120" s="48"/>
      <c r="I120" s="97"/>
      <c r="J120" s="193"/>
      <c r="K120" s="194"/>
    </row>
    <row r="121" spans="1:21" s="95" customFormat="1" ht="13.5" customHeight="1">
      <c r="A121" s="42">
        <v>19</v>
      </c>
      <c r="B121" s="39" t="s">
        <v>422</v>
      </c>
      <c r="C121" s="10">
        <v>985131311</v>
      </c>
      <c r="D121" s="10" t="s">
        <v>423</v>
      </c>
      <c r="E121" s="10" t="s">
        <v>20</v>
      </c>
      <c r="F121" s="96">
        <f>SUM(F123)</f>
        <v>22.4</v>
      </c>
      <c r="G121" s="459"/>
      <c r="H121" s="48">
        <f>F121*G121</f>
        <v>0</v>
      </c>
      <c r="I121" s="97" t="s">
        <v>254</v>
      </c>
      <c r="J121" s="195"/>
      <c r="Q121" s="143"/>
    </row>
    <row r="122" spans="1:21" s="95" customFormat="1" ht="13.5" customHeight="1">
      <c r="A122" s="42"/>
      <c r="B122" s="39"/>
      <c r="C122" s="10"/>
      <c r="D122" s="36" t="s">
        <v>424</v>
      </c>
      <c r="E122" s="10"/>
      <c r="G122" s="48"/>
      <c r="H122" s="48"/>
      <c r="I122" s="97"/>
      <c r="J122" s="195"/>
    </row>
    <row r="123" spans="1:21" s="95" customFormat="1" ht="13.5" customHeight="1">
      <c r="A123" s="42"/>
      <c r="B123" s="39"/>
      <c r="C123" s="10"/>
      <c r="D123" s="36" t="s">
        <v>444</v>
      </c>
      <c r="E123" s="10"/>
      <c r="F123" s="185">
        <f>(5.6*4)</f>
        <v>22.4</v>
      </c>
      <c r="G123" s="48"/>
      <c r="H123" s="48"/>
      <c r="I123" s="97"/>
      <c r="J123" s="195"/>
    </row>
    <row r="124" spans="1:21" s="95" customFormat="1" ht="13.5" customHeight="1">
      <c r="A124" s="42">
        <v>20</v>
      </c>
      <c r="B124" s="39" t="s">
        <v>422</v>
      </c>
      <c r="C124" s="10">
        <v>985132311</v>
      </c>
      <c r="D124" s="10" t="s">
        <v>425</v>
      </c>
      <c r="E124" s="10" t="s">
        <v>20</v>
      </c>
      <c r="F124" s="96">
        <f>SUM(F126:F127)</f>
        <v>152.78800000000001</v>
      </c>
      <c r="G124" s="459"/>
      <c r="H124" s="48">
        <f>F124*G124</f>
        <v>0</v>
      </c>
      <c r="I124" s="97" t="s">
        <v>254</v>
      </c>
      <c r="J124" s="195"/>
    </row>
    <row r="125" spans="1:21" s="95" customFormat="1" ht="13.5" customHeight="1">
      <c r="A125" s="42"/>
      <c r="B125" s="39"/>
      <c r="C125" s="10"/>
      <c r="D125" s="36" t="s">
        <v>426</v>
      </c>
      <c r="E125" s="10"/>
      <c r="G125" s="48"/>
      <c r="H125" s="48"/>
      <c r="I125" s="97"/>
      <c r="J125" s="196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</row>
    <row r="126" spans="1:21" s="95" customFormat="1" ht="13.5" customHeight="1">
      <c r="A126" s="42"/>
      <c r="B126" s="39"/>
      <c r="C126" s="10"/>
      <c r="D126" s="36" t="s">
        <v>445</v>
      </c>
      <c r="E126" s="10"/>
      <c r="F126" s="185">
        <f>(1*6)</f>
        <v>6</v>
      </c>
      <c r="G126" s="48"/>
      <c r="H126" s="48"/>
      <c r="I126" s="97"/>
      <c r="J126" s="168"/>
      <c r="K126" s="133"/>
      <c r="L126" s="133"/>
      <c r="M126" s="133"/>
      <c r="N126" s="133"/>
      <c r="O126" s="133"/>
      <c r="P126" s="133"/>
      <c r="S126" s="167"/>
      <c r="T126" s="74"/>
      <c r="U126" s="74"/>
    </row>
    <row r="127" spans="1:21" s="95" customFormat="1" ht="27" customHeight="1">
      <c r="A127" s="42"/>
      <c r="B127" s="39"/>
      <c r="C127" s="10"/>
      <c r="D127" s="36" t="s">
        <v>504</v>
      </c>
      <c r="E127" s="10"/>
      <c r="F127" s="185">
        <f>25.594+(403.98)*0.3</f>
        <v>146.78800000000001</v>
      </c>
      <c r="G127" s="48"/>
      <c r="H127" s="48"/>
      <c r="I127" s="97"/>
      <c r="J127" s="168"/>
      <c r="K127" s="133"/>
      <c r="L127" s="133"/>
      <c r="M127" s="133"/>
      <c r="N127" s="133"/>
      <c r="O127" s="133"/>
      <c r="P127" s="133"/>
      <c r="S127" s="167"/>
      <c r="T127" s="74"/>
      <c r="U127" s="74"/>
    </row>
    <row r="128" spans="1:21" s="95" customFormat="1" ht="13.5" customHeight="1">
      <c r="A128" s="42">
        <v>21</v>
      </c>
      <c r="B128" s="39" t="s">
        <v>422</v>
      </c>
      <c r="C128" s="10">
        <v>985139112</v>
      </c>
      <c r="D128" s="10" t="s">
        <v>427</v>
      </c>
      <c r="E128" s="10" t="s">
        <v>20</v>
      </c>
      <c r="F128" s="96">
        <f>SUM(F129)</f>
        <v>6</v>
      </c>
      <c r="G128" s="459"/>
      <c r="H128" s="48">
        <f>F128*G128</f>
        <v>0</v>
      </c>
      <c r="I128" s="97" t="s">
        <v>254</v>
      </c>
      <c r="J128" s="168"/>
      <c r="R128" s="167"/>
    </row>
    <row r="129" spans="1:24" s="95" customFormat="1" ht="13.5" customHeight="1">
      <c r="A129" s="42"/>
      <c r="B129" s="39"/>
      <c r="C129" s="10"/>
      <c r="D129" s="36" t="s">
        <v>446</v>
      </c>
      <c r="E129" s="10"/>
      <c r="F129" s="185">
        <f>(1*6)</f>
        <v>6</v>
      </c>
      <c r="G129" s="48"/>
      <c r="H129" s="48"/>
      <c r="I129" s="97"/>
      <c r="J129" s="168"/>
      <c r="U129" s="167"/>
    </row>
    <row r="130" spans="1:24" s="95" customFormat="1" ht="27" customHeight="1">
      <c r="A130" s="42">
        <v>22</v>
      </c>
      <c r="B130" s="39" t="s">
        <v>422</v>
      </c>
      <c r="C130" s="10" t="s">
        <v>505</v>
      </c>
      <c r="D130" s="10" t="s">
        <v>428</v>
      </c>
      <c r="E130" s="10" t="s">
        <v>32</v>
      </c>
      <c r="F130" s="96">
        <f>SUM(F131:F132)</f>
        <v>38.64</v>
      </c>
      <c r="G130" s="461"/>
      <c r="H130" s="48">
        <f>F130*G130</f>
        <v>0</v>
      </c>
      <c r="I130" s="97" t="s">
        <v>262</v>
      </c>
      <c r="J130" s="197"/>
    </row>
    <row r="131" spans="1:24" s="95" customFormat="1" ht="27" customHeight="1">
      <c r="A131" s="42"/>
      <c r="B131" s="39"/>
      <c r="C131" s="10"/>
      <c r="D131" s="36" t="s">
        <v>447</v>
      </c>
      <c r="E131" s="10"/>
      <c r="F131" s="185">
        <f>(5*1)*1.05</f>
        <v>5.25</v>
      </c>
      <c r="G131" s="48"/>
      <c r="H131" s="48"/>
      <c r="I131" s="97"/>
      <c r="J131" s="195"/>
    </row>
    <row r="132" spans="1:24" s="95" customFormat="1" ht="27" customHeight="1">
      <c r="A132" s="42"/>
      <c r="B132" s="39"/>
      <c r="C132" s="10"/>
      <c r="D132" s="36" t="s">
        <v>448</v>
      </c>
      <c r="E132" s="10"/>
      <c r="F132" s="185">
        <f>(4.6*3+3*6)*1.05</f>
        <v>33.39</v>
      </c>
      <c r="G132" s="48"/>
      <c r="H132" s="48"/>
      <c r="I132" s="97"/>
      <c r="J132" s="195"/>
    </row>
    <row r="133" spans="1:24" s="95" customFormat="1" ht="13.5" customHeight="1">
      <c r="A133" s="42"/>
      <c r="B133" s="39"/>
      <c r="C133" s="10"/>
      <c r="D133" s="36" t="s">
        <v>429</v>
      </c>
      <c r="E133" s="10"/>
      <c r="F133" s="185"/>
      <c r="G133" s="48"/>
      <c r="H133" s="48"/>
      <c r="I133" s="198"/>
      <c r="P133" s="132"/>
    </row>
    <row r="134" spans="1:24" s="95" customFormat="1" ht="13.5" customHeight="1">
      <c r="A134" s="42">
        <v>23</v>
      </c>
      <c r="B134" s="39" t="s">
        <v>422</v>
      </c>
      <c r="C134" s="10" t="s">
        <v>430</v>
      </c>
      <c r="D134" s="10" t="s">
        <v>431</v>
      </c>
      <c r="E134" s="10" t="s">
        <v>20</v>
      </c>
      <c r="F134" s="96">
        <f>SUM(F135)</f>
        <v>28.4</v>
      </c>
      <c r="G134" s="459"/>
      <c r="H134" s="48">
        <f>F134*G134</f>
        <v>0</v>
      </c>
      <c r="I134" s="97" t="s">
        <v>262</v>
      </c>
      <c r="J134" s="199"/>
      <c r="Q134" s="200"/>
      <c r="X134" s="167"/>
    </row>
    <row r="135" spans="1:24" s="95" customFormat="1" ht="27" customHeight="1">
      <c r="A135" s="42"/>
      <c r="B135" s="39"/>
      <c r="C135" s="10"/>
      <c r="D135" s="36" t="s">
        <v>449</v>
      </c>
      <c r="E135" s="10"/>
      <c r="F135" s="185">
        <f>22.4+6</f>
        <v>28.4</v>
      </c>
      <c r="G135" s="48"/>
      <c r="H135" s="48"/>
      <c r="I135" s="97"/>
      <c r="R135" s="167"/>
    </row>
    <row r="136" spans="1:24" s="95" customFormat="1" ht="67.5" customHeight="1">
      <c r="A136" s="42"/>
      <c r="B136" s="39"/>
      <c r="C136" s="10"/>
      <c r="D136" s="119" t="s">
        <v>146</v>
      </c>
      <c r="E136" s="10"/>
      <c r="F136" s="37"/>
      <c r="G136" s="48"/>
      <c r="H136" s="48"/>
      <c r="I136" s="97"/>
      <c r="T136" s="167"/>
    </row>
    <row r="137" spans="1:24" s="95" customFormat="1" ht="13.5" customHeight="1">
      <c r="A137" s="42">
        <v>24</v>
      </c>
      <c r="B137" s="39" t="s">
        <v>422</v>
      </c>
      <c r="C137" s="10">
        <v>985312121</v>
      </c>
      <c r="D137" s="10" t="s">
        <v>432</v>
      </c>
      <c r="E137" s="10" t="s">
        <v>20</v>
      </c>
      <c r="F137" s="96">
        <f>SUM(F139:F139)</f>
        <v>6</v>
      </c>
      <c r="G137" s="459"/>
      <c r="H137" s="48">
        <f>F137*G137</f>
        <v>0</v>
      </c>
      <c r="I137" s="97" t="s">
        <v>254</v>
      </c>
      <c r="J137" s="195"/>
      <c r="Q137" s="197"/>
    </row>
    <row r="138" spans="1:24" s="95" customFormat="1" ht="27" customHeight="1">
      <c r="A138" s="42"/>
      <c r="B138" s="39"/>
      <c r="C138" s="10"/>
      <c r="D138" s="36" t="s">
        <v>433</v>
      </c>
      <c r="E138" s="10"/>
      <c r="G138" s="48"/>
      <c r="H138" s="48"/>
      <c r="I138" s="97"/>
      <c r="J138" s="195"/>
      <c r="Q138" s="197"/>
    </row>
    <row r="139" spans="1:24" s="95" customFormat="1" ht="13.5" customHeight="1">
      <c r="A139" s="42"/>
      <c r="B139" s="39"/>
      <c r="C139" s="10"/>
      <c r="D139" s="36" t="s">
        <v>450</v>
      </c>
      <c r="E139" s="10"/>
      <c r="F139" s="185">
        <f>(1*6)</f>
        <v>6</v>
      </c>
      <c r="G139" s="48"/>
      <c r="H139" s="48"/>
      <c r="I139" s="97"/>
      <c r="J139" s="195"/>
      <c r="Q139" s="197"/>
    </row>
    <row r="140" spans="1:24" s="95" customFormat="1" ht="13.5" customHeight="1">
      <c r="A140" s="42">
        <v>25</v>
      </c>
      <c r="B140" s="39" t="s">
        <v>422</v>
      </c>
      <c r="C140" s="10">
        <v>985312131</v>
      </c>
      <c r="D140" s="10" t="s">
        <v>434</v>
      </c>
      <c r="E140" s="10" t="s">
        <v>20</v>
      </c>
      <c r="F140" s="96">
        <f>SUM(F142)</f>
        <v>22.4</v>
      </c>
      <c r="G140" s="459"/>
      <c r="H140" s="48">
        <f>F140*G140</f>
        <v>0</v>
      </c>
      <c r="I140" s="97" t="s">
        <v>254</v>
      </c>
      <c r="J140" s="168"/>
      <c r="Q140" s="197"/>
      <c r="R140" s="201"/>
      <c r="S140" s="202"/>
      <c r="T140" s="202"/>
      <c r="U140" s="202"/>
    </row>
    <row r="141" spans="1:24" s="95" customFormat="1" ht="27" customHeight="1">
      <c r="A141" s="42"/>
      <c r="B141" s="39"/>
      <c r="C141" s="10"/>
      <c r="D141" s="36" t="s">
        <v>435</v>
      </c>
      <c r="E141" s="10"/>
      <c r="G141" s="48"/>
      <c r="H141" s="48"/>
      <c r="I141" s="97"/>
      <c r="J141" s="168"/>
      <c r="P141" s="167"/>
    </row>
    <row r="142" spans="1:24" s="95" customFormat="1" ht="13.5" customHeight="1">
      <c r="A142" s="42"/>
      <c r="B142" s="39"/>
      <c r="C142" s="10"/>
      <c r="D142" s="36" t="s">
        <v>451</v>
      </c>
      <c r="E142" s="10"/>
      <c r="F142" s="185">
        <f>(5.6*4)</f>
        <v>22.4</v>
      </c>
      <c r="G142" s="48"/>
      <c r="H142" s="48"/>
      <c r="I142" s="97"/>
      <c r="J142" s="195"/>
    </row>
    <row r="143" spans="1:24" s="95" customFormat="1" ht="13.5" customHeight="1">
      <c r="A143" s="42">
        <v>26</v>
      </c>
      <c r="B143" s="39" t="s">
        <v>422</v>
      </c>
      <c r="C143" s="10" t="s">
        <v>436</v>
      </c>
      <c r="D143" s="10" t="s">
        <v>437</v>
      </c>
      <c r="E143" s="10" t="s">
        <v>20</v>
      </c>
      <c r="F143" s="96">
        <f>SUM(F144:F144)</f>
        <v>2.34</v>
      </c>
      <c r="G143" s="459"/>
      <c r="H143" s="48">
        <f>F143*G143</f>
        <v>0</v>
      </c>
      <c r="I143" s="97" t="s">
        <v>262</v>
      </c>
      <c r="J143" s="98"/>
      <c r="K143" s="98"/>
      <c r="L143" s="98"/>
      <c r="M143" s="98"/>
      <c r="N143" s="98"/>
      <c r="O143" s="98"/>
      <c r="P143" s="98"/>
      <c r="Q143" s="98"/>
      <c r="R143" s="98"/>
    </row>
    <row r="144" spans="1:24" s="95" customFormat="1" ht="27" customHeight="1">
      <c r="A144" s="42"/>
      <c r="B144" s="39"/>
      <c r="C144" s="10"/>
      <c r="D144" s="36" t="s">
        <v>452</v>
      </c>
      <c r="E144" s="10"/>
      <c r="F144" s="185">
        <f>(1+22.4)*0.1</f>
        <v>2.34</v>
      </c>
      <c r="G144" s="48"/>
      <c r="H144" s="48"/>
      <c r="I144" s="203"/>
      <c r="J144" s="98"/>
      <c r="K144" s="98"/>
      <c r="L144" s="98"/>
      <c r="M144" s="98"/>
      <c r="N144" s="98"/>
      <c r="O144" s="98"/>
      <c r="P144" s="98"/>
      <c r="Q144" s="98"/>
      <c r="R144" s="98"/>
    </row>
    <row r="145" spans="1:256" s="95" customFormat="1" ht="54" customHeight="1">
      <c r="A145" s="42"/>
      <c r="B145" s="39"/>
      <c r="C145" s="10"/>
      <c r="D145" s="36" t="s">
        <v>438</v>
      </c>
      <c r="E145" s="10"/>
      <c r="F145" s="185"/>
      <c r="G145" s="48"/>
      <c r="H145" s="48"/>
      <c r="I145" s="203"/>
      <c r="J145" s="98"/>
      <c r="K145" s="98"/>
      <c r="L145" s="98"/>
      <c r="M145" s="98"/>
      <c r="N145" s="98"/>
      <c r="O145" s="98"/>
      <c r="P145" s="98"/>
      <c r="Q145" s="98"/>
      <c r="R145" s="98"/>
    </row>
    <row r="146" spans="1:256" s="95" customFormat="1" ht="67.5" customHeight="1">
      <c r="A146" s="42"/>
      <c r="B146" s="39"/>
      <c r="C146" s="10"/>
      <c r="D146" s="119" t="s">
        <v>146</v>
      </c>
      <c r="E146" s="10"/>
      <c r="F146" s="37"/>
      <c r="G146" s="48"/>
      <c r="H146" s="48"/>
      <c r="I146" s="203"/>
      <c r="J146" s="98"/>
      <c r="K146" s="98"/>
      <c r="L146" s="98"/>
      <c r="M146" s="98"/>
      <c r="N146" s="98"/>
      <c r="O146" s="98"/>
      <c r="P146" s="98"/>
      <c r="Q146" s="98"/>
      <c r="R146" s="98"/>
    </row>
    <row r="147" spans="1:256" s="95" customFormat="1" ht="13.5" customHeight="1">
      <c r="A147" s="42">
        <v>27</v>
      </c>
      <c r="B147" s="39" t="s">
        <v>422</v>
      </c>
      <c r="C147" s="10" t="s">
        <v>439</v>
      </c>
      <c r="D147" s="10" t="s">
        <v>440</v>
      </c>
      <c r="E147" s="10" t="s">
        <v>441</v>
      </c>
      <c r="F147" s="96">
        <f>SUM(F148:F148)</f>
        <v>2</v>
      </c>
      <c r="G147" s="459"/>
      <c r="H147" s="48">
        <f>F147*G147</f>
        <v>0</v>
      </c>
      <c r="I147" s="97" t="s">
        <v>262</v>
      </c>
      <c r="J147" s="167"/>
    </row>
    <row r="148" spans="1:256" s="95" customFormat="1" ht="13.5" customHeight="1">
      <c r="A148" s="42"/>
      <c r="B148" s="39"/>
      <c r="C148" s="10"/>
      <c r="D148" s="36" t="s">
        <v>442</v>
      </c>
      <c r="E148" s="10"/>
      <c r="F148" s="185">
        <v>2</v>
      </c>
      <c r="G148" s="48"/>
      <c r="H148" s="48"/>
      <c r="I148" s="97"/>
      <c r="J148" s="195"/>
    </row>
    <row r="149" spans="1:256" s="95" customFormat="1" ht="40.5" customHeight="1">
      <c r="A149" s="42"/>
      <c r="B149" s="39"/>
      <c r="C149" s="10"/>
      <c r="D149" s="36" t="s">
        <v>443</v>
      </c>
      <c r="E149" s="10"/>
      <c r="F149" s="185"/>
      <c r="G149" s="48"/>
      <c r="H149" s="48"/>
      <c r="I149" s="97"/>
      <c r="J149" s="195"/>
    </row>
    <row r="150" spans="1:256" s="95" customFormat="1" ht="67.5" customHeight="1">
      <c r="A150" s="42"/>
      <c r="B150" s="39"/>
      <c r="C150" s="10"/>
      <c r="D150" s="119" t="s">
        <v>146</v>
      </c>
      <c r="E150" s="10"/>
      <c r="F150" s="37"/>
      <c r="G150" s="48"/>
      <c r="H150" s="48"/>
      <c r="I150" s="97"/>
    </row>
    <row r="151" spans="1:256" s="95" customFormat="1" ht="13.5" customHeight="1">
      <c r="A151" s="42"/>
      <c r="B151" s="39"/>
      <c r="C151" s="10"/>
      <c r="D151" s="36" t="s">
        <v>453</v>
      </c>
      <c r="E151" s="10"/>
      <c r="F151" s="185"/>
      <c r="G151" s="48"/>
      <c r="H151" s="48"/>
      <c r="I151" s="97"/>
      <c r="J151" s="195"/>
    </row>
    <row r="152" spans="1:256" s="95" customFormat="1" ht="27" customHeight="1">
      <c r="A152" s="191">
        <v>28</v>
      </c>
      <c r="B152" s="39" t="s">
        <v>89</v>
      </c>
      <c r="C152" s="10" t="s">
        <v>90</v>
      </c>
      <c r="D152" s="10" t="s">
        <v>180</v>
      </c>
      <c r="E152" s="10" t="s">
        <v>33</v>
      </c>
      <c r="F152" s="96">
        <f>F153</f>
        <v>0.223</v>
      </c>
      <c r="G152" s="48">
        <f>SUM(H154:H157)/F152</f>
        <v>0</v>
      </c>
      <c r="H152" s="48">
        <f>F152*G152</f>
        <v>0</v>
      </c>
      <c r="I152" s="113" t="s">
        <v>181</v>
      </c>
      <c r="J152" s="168"/>
      <c r="R152" s="74"/>
      <c r="S152" s="74"/>
      <c r="T152" s="74"/>
      <c r="U152" s="74"/>
      <c r="V152" s="74"/>
      <c r="W152" s="74"/>
      <c r="X152" s="74"/>
      <c r="Y152" s="74"/>
      <c r="Z152" s="74"/>
      <c r="AA152" s="74"/>
      <c r="AB152" s="74"/>
      <c r="AC152" s="74"/>
      <c r="AD152" s="74"/>
      <c r="AE152" s="74"/>
      <c r="AF152" s="74"/>
      <c r="AG152" s="74"/>
      <c r="AH152" s="74"/>
      <c r="AI152" s="74"/>
      <c r="AJ152" s="74"/>
      <c r="AK152" s="74"/>
      <c r="AL152" s="74"/>
      <c r="AM152" s="74"/>
      <c r="AN152" s="74"/>
      <c r="AO152" s="74"/>
      <c r="AP152" s="74"/>
      <c r="AQ152" s="74"/>
      <c r="AR152" s="74"/>
      <c r="AS152" s="74"/>
      <c r="AT152" s="74"/>
      <c r="AU152" s="74"/>
      <c r="AV152" s="74"/>
      <c r="AW152" s="74"/>
      <c r="AX152" s="74"/>
      <c r="AY152" s="74"/>
      <c r="AZ152" s="74"/>
      <c r="BA152" s="74"/>
      <c r="BB152" s="74"/>
      <c r="BC152" s="74"/>
      <c r="BD152" s="74"/>
      <c r="BE152" s="74"/>
      <c r="BF152" s="74"/>
      <c r="BG152" s="74"/>
      <c r="BH152" s="74"/>
      <c r="BI152" s="74"/>
      <c r="BJ152" s="74"/>
      <c r="BK152" s="74"/>
      <c r="BL152" s="74"/>
      <c r="BM152" s="74"/>
      <c r="BN152" s="74"/>
      <c r="BO152" s="74"/>
      <c r="BP152" s="74"/>
      <c r="BQ152" s="74"/>
      <c r="BR152" s="74"/>
      <c r="BS152" s="74"/>
      <c r="BT152" s="74"/>
      <c r="BU152" s="74"/>
      <c r="BV152" s="74"/>
      <c r="BW152" s="74"/>
      <c r="BX152" s="74"/>
      <c r="BY152" s="74"/>
      <c r="BZ152" s="74"/>
      <c r="CA152" s="74"/>
      <c r="CB152" s="74"/>
      <c r="CC152" s="74"/>
      <c r="CD152" s="74"/>
      <c r="CE152" s="74"/>
      <c r="CF152" s="74"/>
      <c r="CG152" s="74"/>
      <c r="CH152" s="74"/>
      <c r="CI152" s="74"/>
      <c r="CJ152" s="74"/>
      <c r="CK152" s="74"/>
      <c r="CL152" s="74"/>
      <c r="CM152" s="74"/>
      <c r="CN152" s="74"/>
      <c r="CO152" s="74"/>
      <c r="CP152" s="74"/>
      <c r="CQ152" s="74"/>
      <c r="CR152" s="74"/>
      <c r="CS152" s="74"/>
      <c r="CT152" s="74"/>
      <c r="CU152" s="74"/>
      <c r="CV152" s="74"/>
      <c r="CW152" s="74"/>
      <c r="CX152" s="74"/>
      <c r="CY152" s="74"/>
      <c r="CZ152" s="74"/>
      <c r="DA152" s="74"/>
      <c r="DB152" s="74"/>
      <c r="DC152" s="74"/>
      <c r="DD152" s="74"/>
      <c r="DE152" s="74"/>
      <c r="DF152" s="74"/>
      <c r="DG152" s="74"/>
      <c r="DH152" s="74"/>
      <c r="DI152" s="74"/>
      <c r="DJ152" s="74"/>
      <c r="DK152" s="74"/>
      <c r="DL152" s="74"/>
      <c r="DM152" s="74"/>
      <c r="DN152" s="74"/>
      <c r="DO152" s="74"/>
      <c r="DP152" s="74"/>
      <c r="DQ152" s="74"/>
      <c r="DR152" s="74"/>
      <c r="DS152" s="74"/>
      <c r="DT152" s="74"/>
      <c r="DU152" s="74"/>
      <c r="DV152" s="74"/>
      <c r="DW152" s="74"/>
      <c r="DX152" s="74"/>
      <c r="DY152" s="74"/>
      <c r="DZ152" s="74"/>
      <c r="EA152" s="74"/>
      <c r="EB152" s="74"/>
      <c r="EC152" s="74"/>
      <c r="ED152" s="74"/>
      <c r="EE152" s="74"/>
      <c r="EF152" s="74"/>
      <c r="EG152" s="74"/>
      <c r="EH152" s="74"/>
      <c r="EI152" s="74"/>
      <c r="EJ152" s="74"/>
      <c r="EK152" s="74"/>
      <c r="EL152" s="74"/>
      <c r="EM152" s="74"/>
      <c r="EN152" s="74"/>
      <c r="EO152" s="74"/>
      <c r="EP152" s="74"/>
      <c r="EQ152" s="74"/>
      <c r="ER152" s="74"/>
      <c r="ES152" s="74"/>
      <c r="ET152" s="74"/>
      <c r="EU152" s="74"/>
      <c r="EV152" s="74"/>
      <c r="EW152" s="74"/>
      <c r="EX152" s="74"/>
      <c r="EY152" s="74"/>
      <c r="EZ152" s="74"/>
      <c r="FA152" s="74"/>
      <c r="FB152" s="74"/>
      <c r="FC152" s="74"/>
      <c r="FD152" s="74"/>
      <c r="FE152" s="74"/>
      <c r="FF152" s="74"/>
      <c r="FG152" s="74"/>
      <c r="FH152" s="74"/>
      <c r="FI152" s="74"/>
      <c r="FJ152" s="74"/>
      <c r="FK152" s="74"/>
      <c r="FL152" s="74"/>
      <c r="FM152" s="74"/>
      <c r="FN152" s="74"/>
      <c r="FO152" s="74"/>
      <c r="FP152" s="74"/>
      <c r="FQ152" s="74"/>
      <c r="FR152" s="74"/>
      <c r="FS152" s="74"/>
      <c r="FT152" s="74"/>
      <c r="FU152" s="74"/>
      <c r="FV152" s="74"/>
      <c r="FW152" s="74"/>
      <c r="FX152" s="74"/>
      <c r="FY152" s="74"/>
      <c r="FZ152" s="74"/>
      <c r="GA152" s="74"/>
      <c r="GB152" s="74"/>
      <c r="GC152" s="74"/>
      <c r="GD152" s="74"/>
      <c r="GE152" s="74"/>
      <c r="GF152" s="74"/>
      <c r="GG152" s="74"/>
      <c r="GH152" s="74"/>
      <c r="GI152" s="74"/>
      <c r="GJ152" s="74"/>
      <c r="GK152" s="74"/>
      <c r="GL152" s="74"/>
      <c r="GM152" s="74"/>
      <c r="GN152" s="74"/>
      <c r="GO152" s="74"/>
      <c r="GP152" s="74"/>
      <c r="GQ152" s="74"/>
      <c r="GR152" s="74"/>
      <c r="GS152" s="74"/>
      <c r="GT152" s="74"/>
      <c r="GU152" s="74"/>
      <c r="GV152" s="74"/>
      <c r="GW152" s="74"/>
      <c r="GX152" s="74"/>
      <c r="GY152" s="74"/>
      <c r="GZ152" s="74"/>
      <c r="HA152" s="74"/>
      <c r="HB152" s="74"/>
      <c r="HC152" s="74"/>
      <c r="HD152" s="74"/>
      <c r="HE152" s="74"/>
      <c r="HF152" s="74"/>
      <c r="HG152" s="74"/>
      <c r="HH152" s="74"/>
      <c r="HI152" s="74"/>
      <c r="HJ152" s="74"/>
      <c r="HK152" s="74"/>
      <c r="HL152" s="74"/>
      <c r="HM152" s="74"/>
      <c r="HN152" s="74"/>
      <c r="HO152" s="74"/>
      <c r="HP152" s="74"/>
      <c r="HQ152" s="74"/>
      <c r="HR152" s="74"/>
      <c r="HS152" s="74"/>
      <c r="HT152" s="74"/>
      <c r="HU152" s="74"/>
      <c r="HV152" s="74"/>
      <c r="HW152" s="74"/>
      <c r="HX152" s="74"/>
      <c r="HY152" s="74"/>
      <c r="HZ152" s="74"/>
      <c r="IA152" s="74"/>
      <c r="IB152" s="74"/>
      <c r="IC152" s="74"/>
      <c r="ID152" s="74"/>
      <c r="IE152" s="74"/>
      <c r="IF152" s="74"/>
      <c r="IG152" s="74"/>
      <c r="IH152" s="74"/>
      <c r="II152" s="74"/>
      <c r="IJ152" s="74"/>
      <c r="IK152" s="74"/>
      <c r="IL152" s="74"/>
      <c r="IM152" s="74"/>
      <c r="IN152" s="74"/>
      <c r="IO152" s="74"/>
      <c r="IP152" s="74"/>
      <c r="IQ152" s="74"/>
      <c r="IR152" s="74"/>
      <c r="IS152" s="74"/>
      <c r="IT152" s="74"/>
      <c r="IU152" s="74"/>
      <c r="IV152" s="74"/>
    </row>
    <row r="153" spans="1:256" s="95" customFormat="1" ht="13.5" customHeight="1">
      <c r="A153" s="204"/>
      <c r="B153" s="118"/>
      <c r="C153" s="35"/>
      <c r="D153" s="36" t="s">
        <v>506</v>
      </c>
      <c r="E153" s="36"/>
      <c r="F153" s="185">
        <f>0.223</f>
        <v>0.223</v>
      </c>
      <c r="G153" s="47"/>
      <c r="H153" s="205"/>
      <c r="I153" s="206"/>
      <c r="J153" s="207"/>
      <c r="K153" s="109"/>
      <c r="L153" s="109"/>
      <c r="M153" s="109"/>
      <c r="N153" s="109"/>
      <c r="O153" s="109"/>
      <c r="P153" s="109"/>
      <c r="Q153" s="111"/>
      <c r="R153" s="74"/>
      <c r="S153" s="74"/>
      <c r="T153" s="74"/>
      <c r="U153" s="74"/>
      <c r="V153" s="74"/>
      <c r="W153" s="74"/>
      <c r="X153" s="74"/>
      <c r="Y153" s="74"/>
      <c r="Z153" s="74"/>
      <c r="AA153" s="74"/>
      <c r="AB153" s="74"/>
      <c r="AC153" s="74"/>
      <c r="AD153" s="74"/>
      <c r="AE153" s="74"/>
      <c r="AF153" s="74"/>
      <c r="AG153" s="74"/>
      <c r="AH153" s="74"/>
      <c r="AI153" s="74"/>
      <c r="AJ153" s="74"/>
      <c r="AK153" s="74"/>
      <c r="AL153" s="74"/>
      <c r="AM153" s="74"/>
      <c r="AN153" s="74"/>
      <c r="AO153" s="74"/>
      <c r="AP153" s="74"/>
      <c r="AQ153" s="74"/>
      <c r="AR153" s="74"/>
      <c r="AS153" s="74"/>
      <c r="AT153" s="74"/>
      <c r="AU153" s="74"/>
      <c r="AV153" s="74"/>
      <c r="AW153" s="74"/>
      <c r="AX153" s="74"/>
      <c r="AY153" s="74"/>
      <c r="AZ153" s="74"/>
      <c r="BA153" s="74"/>
      <c r="BB153" s="74"/>
      <c r="BC153" s="74"/>
      <c r="BD153" s="74"/>
      <c r="BE153" s="74"/>
      <c r="BF153" s="74"/>
      <c r="BG153" s="74"/>
      <c r="BH153" s="74"/>
      <c r="BI153" s="74"/>
      <c r="BJ153" s="74"/>
      <c r="BK153" s="74"/>
      <c r="BL153" s="74"/>
      <c r="BM153" s="74"/>
      <c r="BN153" s="74"/>
      <c r="BO153" s="74"/>
      <c r="BP153" s="74"/>
      <c r="BQ153" s="74"/>
      <c r="BR153" s="74"/>
      <c r="BS153" s="74"/>
      <c r="BT153" s="74"/>
      <c r="BU153" s="74"/>
      <c r="BV153" s="74"/>
      <c r="BW153" s="74"/>
      <c r="BX153" s="74"/>
      <c r="BY153" s="74"/>
      <c r="BZ153" s="74"/>
      <c r="CA153" s="74"/>
      <c r="CB153" s="74"/>
      <c r="CC153" s="74"/>
      <c r="CD153" s="74"/>
      <c r="CE153" s="74"/>
      <c r="CF153" s="74"/>
      <c r="CG153" s="74"/>
      <c r="CH153" s="74"/>
      <c r="CI153" s="74"/>
      <c r="CJ153" s="74"/>
      <c r="CK153" s="74"/>
      <c r="CL153" s="74"/>
      <c r="CM153" s="74"/>
      <c r="CN153" s="74"/>
      <c r="CO153" s="74"/>
      <c r="CP153" s="74"/>
      <c r="CQ153" s="74"/>
      <c r="CR153" s="74"/>
      <c r="CS153" s="74"/>
      <c r="CT153" s="74"/>
      <c r="CU153" s="74"/>
      <c r="CV153" s="74"/>
      <c r="CW153" s="74"/>
      <c r="CX153" s="74"/>
      <c r="CY153" s="74"/>
      <c r="CZ153" s="74"/>
      <c r="DA153" s="74"/>
      <c r="DB153" s="74"/>
      <c r="DC153" s="74"/>
      <c r="DD153" s="74"/>
      <c r="DE153" s="74"/>
      <c r="DF153" s="74"/>
      <c r="DG153" s="74"/>
      <c r="DH153" s="74"/>
      <c r="DI153" s="74"/>
      <c r="DJ153" s="74"/>
      <c r="DK153" s="74"/>
      <c r="DL153" s="74"/>
      <c r="DM153" s="74"/>
      <c r="DN153" s="74"/>
      <c r="DO153" s="74"/>
      <c r="DP153" s="74"/>
      <c r="DQ153" s="74"/>
      <c r="DR153" s="74"/>
      <c r="DS153" s="74"/>
      <c r="DT153" s="74"/>
      <c r="DU153" s="74"/>
      <c r="DV153" s="74"/>
      <c r="DW153" s="74"/>
      <c r="DX153" s="74"/>
      <c r="DY153" s="74"/>
      <c r="DZ153" s="74"/>
      <c r="EA153" s="74"/>
      <c r="EB153" s="74"/>
      <c r="EC153" s="74"/>
      <c r="ED153" s="74"/>
      <c r="EE153" s="74"/>
      <c r="EF153" s="74"/>
      <c r="EG153" s="74"/>
      <c r="EH153" s="74"/>
      <c r="EI153" s="74"/>
      <c r="EJ153" s="74"/>
      <c r="EK153" s="74"/>
      <c r="EL153" s="74"/>
      <c r="EM153" s="74"/>
      <c r="EN153" s="74"/>
      <c r="EO153" s="74"/>
      <c r="EP153" s="74"/>
      <c r="EQ153" s="74"/>
      <c r="ER153" s="74"/>
      <c r="ES153" s="74"/>
      <c r="ET153" s="74"/>
      <c r="EU153" s="74"/>
      <c r="EV153" s="74"/>
      <c r="EW153" s="74"/>
      <c r="EX153" s="74"/>
      <c r="EY153" s="74"/>
      <c r="EZ153" s="74"/>
      <c r="FA153" s="74"/>
      <c r="FB153" s="74"/>
      <c r="FC153" s="74"/>
      <c r="FD153" s="74"/>
      <c r="FE153" s="74"/>
      <c r="FF153" s="74"/>
      <c r="FG153" s="74"/>
      <c r="FH153" s="74"/>
      <c r="FI153" s="74"/>
      <c r="FJ153" s="74"/>
      <c r="FK153" s="74"/>
      <c r="FL153" s="74"/>
      <c r="FM153" s="74"/>
      <c r="FN153" s="74"/>
      <c r="FO153" s="74"/>
      <c r="FP153" s="74"/>
      <c r="FQ153" s="74"/>
      <c r="FR153" s="74"/>
      <c r="FS153" s="74"/>
      <c r="FT153" s="74"/>
      <c r="FU153" s="74"/>
      <c r="FV153" s="74"/>
      <c r="FW153" s="74"/>
      <c r="FX153" s="74"/>
      <c r="FY153" s="74"/>
      <c r="FZ153" s="74"/>
      <c r="GA153" s="74"/>
      <c r="GB153" s="74"/>
      <c r="GC153" s="74"/>
      <c r="GD153" s="74"/>
      <c r="GE153" s="74"/>
      <c r="GF153" s="74"/>
      <c r="GG153" s="74"/>
      <c r="GH153" s="74"/>
      <c r="GI153" s="74"/>
      <c r="GJ153" s="74"/>
      <c r="GK153" s="74"/>
      <c r="GL153" s="74"/>
      <c r="GM153" s="74"/>
      <c r="GN153" s="74"/>
      <c r="GO153" s="74"/>
      <c r="GP153" s="74"/>
      <c r="GQ153" s="74"/>
      <c r="GR153" s="74"/>
      <c r="GS153" s="74"/>
      <c r="GT153" s="74"/>
      <c r="GU153" s="74"/>
      <c r="GV153" s="74"/>
      <c r="GW153" s="74"/>
      <c r="GX153" s="74"/>
      <c r="GY153" s="74"/>
      <c r="GZ153" s="74"/>
      <c r="HA153" s="74"/>
      <c r="HB153" s="74"/>
      <c r="HC153" s="74"/>
      <c r="HD153" s="74"/>
      <c r="HE153" s="74"/>
      <c r="HF153" s="74"/>
      <c r="HG153" s="74"/>
      <c r="HH153" s="74"/>
      <c r="HI153" s="74"/>
      <c r="HJ153" s="74"/>
      <c r="HK153" s="74"/>
      <c r="HL153" s="74"/>
      <c r="HM153" s="74"/>
      <c r="HN153" s="74"/>
      <c r="HO153" s="74"/>
      <c r="HP153" s="74"/>
      <c r="HQ153" s="74"/>
      <c r="HR153" s="74"/>
      <c r="HS153" s="74"/>
      <c r="HT153" s="74"/>
      <c r="HU153" s="74"/>
      <c r="HV153" s="74"/>
      <c r="HW153" s="74"/>
      <c r="HX153" s="74"/>
      <c r="HY153" s="74"/>
      <c r="HZ153" s="74"/>
      <c r="IA153" s="74"/>
      <c r="IB153" s="74"/>
      <c r="IC153" s="74"/>
      <c r="ID153" s="74"/>
      <c r="IE153" s="74"/>
      <c r="IF153" s="74"/>
      <c r="IG153" s="74"/>
      <c r="IH153" s="74"/>
      <c r="II153" s="74"/>
      <c r="IJ153" s="74"/>
      <c r="IK153" s="74"/>
      <c r="IL153" s="74"/>
      <c r="IM153" s="74"/>
      <c r="IN153" s="74"/>
      <c r="IO153" s="74"/>
      <c r="IP153" s="74"/>
      <c r="IQ153" s="74"/>
      <c r="IR153" s="74"/>
      <c r="IS153" s="74"/>
      <c r="IT153" s="74"/>
      <c r="IU153" s="74"/>
      <c r="IV153" s="74"/>
    </row>
    <row r="154" spans="1:256" s="95" customFormat="1" ht="27" customHeight="1">
      <c r="A154" s="208" t="s">
        <v>548</v>
      </c>
      <c r="B154" s="118"/>
      <c r="C154" s="35"/>
      <c r="D154" s="36" t="s">
        <v>224</v>
      </c>
      <c r="E154" s="36" t="s">
        <v>33</v>
      </c>
      <c r="F154" s="185">
        <f>F153</f>
        <v>0.223</v>
      </c>
      <c r="G154" s="468"/>
      <c r="H154" s="99">
        <f>F154*G154</f>
        <v>0</v>
      </c>
      <c r="I154" s="206"/>
      <c r="J154" s="209"/>
      <c r="K154" s="109"/>
      <c r="L154" s="109"/>
      <c r="M154" s="109"/>
      <c r="N154" s="109"/>
      <c r="O154" s="109"/>
      <c r="P154" s="109"/>
      <c r="R154" s="29"/>
    </row>
    <row r="155" spans="1:256" s="95" customFormat="1" ht="13.5" customHeight="1">
      <c r="A155" s="208" t="s">
        <v>549</v>
      </c>
      <c r="B155" s="118"/>
      <c r="C155" s="35"/>
      <c r="D155" s="36" t="s">
        <v>91</v>
      </c>
      <c r="E155" s="36" t="s">
        <v>33</v>
      </c>
      <c r="F155" s="185">
        <f>F152</f>
        <v>0.223</v>
      </c>
      <c r="G155" s="468"/>
      <c r="H155" s="210">
        <f>F155*G155</f>
        <v>0</v>
      </c>
      <c r="I155" s="211"/>
      <c r="J155" s="212"/>
      <c r="K155" s="109"/>
      <c r="L155" s="109"/>
      <c r="M155" s="109"/>
      <c r="N155" s="109"/>
      <c r="O155" s="109"/>
      <c r="P155" s="109"/>
      <c r="Q155" s="111"/>
      <c r="R155" s="29"/>
      <c r="S155" s="74"/>
      <c r="T155" s="74"/>
      <c r="U155" s="74"/>
      <c r="V155" s="74"/>
      <c r="W155" s="74"/>
      <c r="X155" s="74"/>
      <c r="Y155" s="74"/>
      <c r="Z155" s="74"/>
      <c r="AA155" s="74"/>
      <c r="AB155" s="74"/>
      <c r="AC155" s="74"/>
      <c r="AD155" s="74"/>
      <c r="AE155" s="74"/>
      <c r="AF155" s="74"/>
      <c r="AG155" s="74"/>
      <c r="AH155" s="74"/>
      <c r="AI155" s="74"/>
      <c r="AJ155" s="74"/>
      <c r="AK155" s="74"/>
      <c r="AL155" s="74"/>
      <c r="AM155" s="74"/>
      <c r="AN155" s="74"/>
      <c r="AO155" s="74"/>
      <c r="AP155" s="74"/>
      <c r="AQ155" s="74"/>
      <c r="AR155" s="74"/>
      <c r="AS155" s="74"/>
      <c r="AT155" s="74"/>
      <c r="AU155" s="74"/>
      <c r="AV155" s="74"/>
      <c r="AW155" s="74"/>
      <c r="AX155" s="74"/>
      <c r="AY155" s="74"/>
      <c r="AZ155" s="74"/>
      <c r="BA155" s="74"/>
      <c r="BB155" s="74"/>
      <c r="BC155" s="74"/>
      <c r="BD155" s="74"/>
      <c r="BE155" s="74"/>
      <c r="BF155" s="74"/>
      <c r="BG155" s="74"/>
      <c r="BH155" s="74"/>
      <c r="BI155" s="74"/>
      <c r="BJ155" s="74"/>
      <c r="BK155" s="74"/>
      <c r="BL155" s="74"/>
      <c r="BM155" s="74"/>
      <c r="BN155" s="74"/>
      <c r="BO155" s="74"/>
      <c r="BP155" s="74"/>
      <c r="BQ155" s="74"/>
      <c r="BR155" s="74"/>
      <c r="BS155" s="74"/>
      <c r="BT155" s="74"/>
      <c r="BU155" s="74"/>
      <c r="BV155" s="74"/>
      <c r="BW155" s="74"/>
      <c r="BX155" s="74"/>
      <c r="BY155" s="74"/>
      <c r="BZ155" s="74"/>
      <c r="CA155" s="74"/>
      <c r="CB155" s="74"/>
      <c r="CC155" s="74"/>
      <c r="CD155" s="74"/>
      <c r="CE155" s="74"/>
      <c r="CF155" s="74"/>
      <c r="CG155" s="74"/>
      <c r="CH155" s="74"/>
      <c r="CI155" s="74"/>
      <c r="CJ155" s="74"/>
      <c r="CK155" s="74"/>
      <c r="CL155" s="74"/>
      <c r="CM155" s="74"/>
      <c r="CN155" s="74"/>
      <c r="CO155" s="74"/>
      <c r="CP155" s="74"/>
      <c r="CQ155" s="74"/>
      <c r="CR155" s="74"/>
      <c r="CS155" s="74"/>
      <c r="CT155" s="74"/>
      <c r="CU155" s="74"/>
      <c r="CV155" s="74"/>
      <c r="CW155" s="74"/>
      <c r="CX155" s="74"/>
      <c r="CY155" s="74"/>
      <c r="CZ155" s="74"/>
      <c r="DA155" s="74"/>
      <c r="DB155" s="74"/>
      <c r="DC155" s="74"/>
      <c r="DD155" s="74"/>
      <c r="DE155" s="74"/>
      <c r="DF155" s="74"/>
      <c r="DG155" s="74"/>
      <c r="DH155" s="74"/>
      <c r="DI155" s="74"/>
      <c r="DJ155" s="74"/>
      <c r="DK155" s="74"/>
      <c r="DL155" s="74"/>
      <c r="DM155" s="74"/>
      <c r="DN155" s="74"/>
      <c r="DO155" s="74"/>
      <c r="DP155" s="74"/>
      <c r="DQ155" s="74"/>
      <c r="DR155" s="74"/>
      <c r="DS155" s="74"/>
      <c r="DT155" s="74"/>
      <c r="DU155" s="74"/>
      <c r="DV155" s="74"/>
      <c r="DW155" s="74"/>
      <c r="DX155" s="74"/>
      <c r="DY155" s="74"/>
      <c r="DZ155" s="74"/>
      <c r="EA155" s="74"/>
      <c r="EB155" s="74"/>
      <c r="EC155" s="74"/>
      <c r="ED155" s="74"/>
      <c r="EE155" s="74"/>
      <c r="EF155" s="74"/>
      <c r="EG155" s="74"/>
      <c r="EH155" s="74"/>
      <c r="EI155" s="74"/>
      <c r="EJ155" s="74"/>
      <c r="EK155" s="74"/>
      <c r="EL155" s="74"/>
      <c r="EM155" s="74"/>
      <c r="EN155" s="74"/>
      <c r="EO155" s="74"/>
      <c r="EP155" s="74"/>
      <c r="EQ155" s="74"/>
      <c r="ER155" s="74"/>
      <c r="ES155" s="74"/>
      <c r="ET155" s="74"/>
      <c r="EU155" s="74"/>
      <c r="EV155" s="74"/>
      <c r="EW155" s="74"/>
      <c r="EX155" s="74"/>
      <c r="EY155" s="74"/>
      <c r="EZ155" s="74"/>
      <c r="FA155" s="74"/>
      <c r="FB155" s="74"/>
      <c r="FC155" s="74"/>
      <c r="FD155" s="74"/>
      <c r="FE155" s="74"/>
      <c r="FF155" s="74"/>
      <c r="FG155" s="74"/>
      <c r="FH155" s="74"/>
      <c r="FI155" s="74"/>
      <c r="FJ155" s="74"/>
      <c r="FK155" s="74"/>
      <c r="FL155" s="74"/>
      <c r="FM155" s="74"/>
      <c r="FN155" s="74"/>
      <c r="FO155" s="74"/>
      <c r="FP155" s="74"/>
      <c r="FQ155" s="74"/>
      <c r="FR155" s="74"/>
      <c r="FS155" s="74"/>
      <c r="FT155" s="74"/>
      <c r="FU155" s="74"/>
      <c r="FV155" s="74"/>
      <c r="FW155" s="74"/>
      <c r="FX155" s="74"/>
      <c r="FY155" s="74"/>
      <c r="FZ155" s="74"/>
      <c r="GA155" s="74"/>
      <c r="GB155" s="74"/>
      <c r="GC155" s="74"/>
      <c r="GD155" s="74"/>
      <c r="GE155" s="74"/>
      <c r="GF155" s="74"/>
      <c r="GG155" s="74"/>
      <c r="GH155" s="74"/>
      <c r="GI155" s="74"/>
      <c r="GJ155" s="74"/>
      <c r="GK155" s="74"/>
      <c r="GL155" s="74"/>
      <c r="GM155" s="74"/>
      <c r="GN155" s="74"/>
      <c r="GO155" s="74"/>
      <c r="GP155" s="74"/>
      <c r="GQ155" s="74"/>
      <c r="GR155" s="74"/>
      <c r="GS155" s="74"/>
      <c r="GT155" s="74"/>
      <c r="GU155" s="74"/>
      <c r="GV155" s="74"/>
      <c r="GW155" s="74"/>
      <c r="GX155" s="74"/>
      <c r="GY155" s="74"/>
      <c r="GZ155" s="74"/>
      <c r="HA155" s="74"/>
      <c r="HB155" s="74"/>
      <c r="HC155" s="74"/>
      <c r="HD155" s="74"/>
      <c r="HE155" s="74"/>
      <c r="HF155" s="74"/>
      <c r="HG155" s="74"/>
      <c r="HH155" s="74"/>
      <c r="HI155" s="74"/>
      <c r="HJ155" s="74"/>
      <c r="HK155" s="74"/>
      <c r="HL155" s="74"/>
      <c r="HM155" s="74"/>
      <c r="HN155" s="74"/>
      <c r="HO155" s="74"/>
      <c r="HP155" s="74"/>
      <c r="HQ155" s="74"/>
      <c r="HR155" s="74"/>
      <c r="HS155" s="74"/>
      <c r="HT155" s="74"/>
      <c r="HU155" s="74"/>
      <c r="HV155" s="74"/>
      <c r="HW155" s="74"/>
      <c r="HX155" s="74"/>
      <c r="HY155" s="74"/>
      <c r="HZ155" s="74"/>
      <c r="IA155" s="74"/>
      <c r="IB155" s="74"/>
      <c r="IC155" s="74"/>
      <c r="ID155" s="74"/>
      <c r="IE155" s="74"/>
      <c r="IF155" s="74"/>
      <c r="IG155" s="74"/>
      <c r="IH155" s="74"/>
      <c r="II155" s="74"/>
      <c r="IJ155" s="74"/>
      <c r="IK155" s="74"/>
      <c r="IL155" s="74"/>
      <c r="IM155" s="74"/>
      <c r="IN155" s="74"/>
      <c r="IO155" s="74"/>
      <c r="IP155" s="74"/>
      <c r="IQ155" s="74"/>
      <c r="IR155" s="74"/>
      <c r="IS155" s="74"/>
      <c r="IT155" s="74"/>
      <c r="IU155" s="74"/>
      <c r="IV155" s="74"/>
    </row>
    <row r="156" spans="1:256" s="95" customFormat="1" ht="27" customHeight="1">
      <c r="A156" s="208" t="s">
        <v>550</v>
      </c>
      <c r="B156" s="118"/>
      <c r="C156" s="35"/>
      <c r="D156" s="36" t="s">
        <v>178</v>
      </c>
      <c r="E156" s="36" t="s">
        <v>33</v>
      </c>
      <c r="F156" s="185">
        <f>29*F153</f>
        <v>6.4670000000000005</v>
      </c>
      <c r="G156" s="468"/>
      <c r="H156" s="210">
        <f>F156*G156</f>
        <v>0</v>
      </c>
      <c r="I156" s="211"/>
      <c r="J156" s="213"/>
      <c r="K156" s="109"/>
      <c r="L156" s="109"/>
      <c r="M156" s="109"/>
      <c r="N156" s="109"/>
      <c r="O156" s="109"/>
      <c r="P156" s="109"/>
      <c r="Q156" s="111"/>
      <c r="R156" s="29"/>
      <c r="S156" s="74"/>
      <c r="T156" s="74"/>
      <c r="U156" s="74"/>
      <c r="V156" s="74"/>
      <c r="W156" s="74"/>
      <c r="X156" s="74"/>
      <c r="Y156" s="74"/>
      <c r="Z156" s="74"/>
      <c r="AA156" s="74"/>
      <c r="AB156" s="74"/>
      <c r="AC156" s="74"/>
      <c r="AD156" s="74"/>
      <c r="AE156" s="74"/>
      <c r="AF156" s="74"/>
      <c r="AG156" s="74"/>
      <c r="AH156" s="74"/>
      <c r="AI156" s="74"/>
      <c r="AJ156" s="74"/>
      <c r="AK156" s="74"/>
      <c r="AL156" s="74"/>
      <c r="AM156" s="74"/>
      <c r="AN156" s="74"/>
      <c r="AO156" s="74"/>
      <c r="AP156" s="74"/>
      <c r="AQ156" s="74"/>
      <c r="AR156" s="74"/>
      <c r="AS156" s="74"/>
      <c r="AT156" s="74"/>
      <c r="AU156" s="74"/>
      <c r="AV156" s="74"/>
      <c r="AW156" s="74"/>
      <c r="AX156" s="74"/>
      <c r="AY156" s="74"/>
      <c r="AZ156" s="74"/>
      <c r="BA156" s="74"/>
      <c r="BB156" s="74"/>
      <c r="BC156" s="74"/>
      <c r="BD156" s="74"/>
      <c r="BE156" s="74"/>
      <c r="BF156" s="74"/>
      <c r="BG156" s="74"/>
      <c r="BH156" s="74"/>
      <c r="BI156" s="74"/>
      <c r="BJ156" s="74"/>
      <c r="BK156" s="74"/>
      <c r="BL156" s="74"/>
      <c r="BM156" s="74"/>
      <c r="BN156" s="74"/>
      <c r="BO156" s="74"/>
      <c r="BP156" s="74"/>
      <c r="BQ156" s="74"/>
      <c r="BR156" s="74"/>
      <c r="BS156" s="74"/>
      <c r="BT156" s="74"/>
      <c r="BU156" s="74"/>
      <c r="BV156" s="74"/>
      <c r="BW156" s="74"/>
      <c r="BX156" s="74"/>
      <c r="BY156" s="74"/>
      <c r="BZ156" s="74"/>
      <c r="CA156" s="74"/>
      <c r="CB156" s="74"/>
      <c r="CC156" s="74"/>
      <c r="CD156" s="74"/>
      <c r="CE156" s="74"/>
      <c r="CF156" s="74"/>
      <c r="CG156" s="74"/>
      <c r="CH156" s="74"/>
      <c r="CI156" s="74"/>
      <c r="CJ156" s="74"/>
      <c r="CK156" s="74"/>
      <c r="CL156" s="74"/>
      <c r="CM156" s="74"/>
      <c r="CN156" s="74"/>
      <c r="CO156" s="74"/>
      <c r="CP156" s="74"/>
      <c r="CQ156" s="74"/>
      <c r="CR156" s="74"/>
      <c r="CS156" s="74"/>
      <c r="CT156" s="74"/>
      <c r="CU156" s="74"/>
      <c r="CV156" s="74"/>
      <c r="CW156" s="74"/>
      <c r="CX156" s="74"/>
      <c r="CY156" s="74"/>
      <c r="CZ156" s="74"/>
      <c r="DA156" s="74"/>
      <c r="DB156" s="74"/>
      <c r="DC156" s="74"/>
      <c r="DD156" s="74"/>
      <c r="DE156" s="74"/>
      <c r="DF156" s="74"/>
      <c r="DG156" s="74"/>
      <c r="DH156" s="74"/>
      <c r="DI156" s="74"/>
      <c r="DJ156" s="74"/>
      <c r="DK156" s="74"/>
      <c r="DL156" s="74"/>
      <c r="DM156" s="74"/>
      <c r="DN156" s="74"/>
      <c r="DO156" s="74"/>
      <c r="DP156" s="74"/>
      <c r="DQ156" s="74"/>
      <c r="DR156" s="74"/>
      <c r="DS156" s="74"/>
      <c r="DT156" s="74"/>
      <c r="DU156" s="74"/>
      <c r="DV156" s="74"/>
      <c r="DW156" s="74"/>
      <c r="DX156" s="74"/>
      <c r="DY156" s="74"/>
      <c r="DZ156" s="74"/>
      <c r="EA156" s="74"/>
      <c r="EB156" s="74"/>
      <c r="EC156" s="74"/>
      <c r="ED156" s="74"/>
      <c r="EE156" s="74"/>
      <c r="EF156" s="74"/>
      <c r="EG156" s="74"/>
      <c r="EH156" s="74"/>
      <c r="EI156" s="74"/>
      <c r="EJ156" s="74"/>
      <c r="EK156" s="74"/>
      <c r="EL156" s="74"/>
      <c r="EM156" s="74"/>
      <c r="EN156" s="74"/>
      <c r="EO156" s="74"/>
      <c r="EP156" s="74"/>
      <c r="EQ156" s="74"/>
      <c r="ER156" s="74"/>
      <c r="ES156" s="74"/>
      <c r="ET156" s="74"/>
      <c r="EU156" s="74"/>
      <c r="EV156" s="74"/>
      <c r="EW156" s="74"/>
      <c r="EX156" s="74"/>
      <c r="EY156" s="74"/>
      <c r="EZ156" s="74"/>
      <c r="FA156" s="74"/>
      <c r="FB156" s="74"/>
      <c r="FC156" s="74"/>
      <c r="FD156" s="74"/>
      <c r="FE156" s="74"/>
      <c r="FF156" s="74"/>
      <c r="FG156" s="74"/>
      <c r="FH156" s="74"/>
      <c r="FI156" s="74"/>
      <c r="FJ156" s="74"/>
      <c r="FK156" s="74"/>
      <c r="FL156" s="74"/>
      <c r="FM156" s="74"/>
      <c r="FN156" s="74"/>
      <c r="FO156" s="74"/>
      <c r="FP156" s="74"/>
      <c r="FQ156" s="74"/>
      <c r="FR156" s="74"/>
      <c r="FS156" s="74"/>
      <c r="FT156" s="74"/>
      <c r="FU156" s="74"/>
      <c r="FV156" s="74"/>
      <c r="FW156" s="74"/>
      <c r="FX156" s="74"/>
      <c r="FY156" s="74"/>
      <c r="FZ156" s="74"/>
      <c r="GA156" s="74"/>
      <c r="GB156" s="74"/>
      <c r="GC156" s="74"/>
      <c r="GD156" s="74"/>
      <c r="GE156" s="74"/>
      <c r="GF156" s="74"/>
      <c r="GG156" s="74"/>
      <c r="GH156" s="74"/>
      <c r="GI156" s="74"/>
      <c r="GJ156" s="74"/>
      <c r="GK156" s="74"/>
      <c r="GL156" s="74"/>
      <c r="GM156" s="74"/>
      <c r="GN156" s="74"/>
      <c r="GO156" s="74"/>
      <c r="GP156" s="74"/>
      <c r="GQ156" s="74"/>
      <c r="GR156" s="74"/>
      <c r="GS156" s="74"/>
      <c r="GT156" s="74"/>
      <c r="GU156" s="74"/>
      <c r="GV156" s="74"/>
      <c r="GW156" s="74"/>
      <c r="GX156" s="74"/>
      <c r="GY156" s="74"/>
      <c r="GZ156" s="74"/>
      <c r="HA156" s="74"/>
      <c r="HB156" s="74"/>
      <c r="HC156" s="74"/>
      <c r="HD156" s="74"/>
      <c r="HE156" s="74"/>
      <c r="HF156" s="74"/>
      <c r="HG156" s="74"/>
      <c r="HH156" s="74"/>
      <c r="HI156" s="74"/>
      <c r="HJ156" s="74"/>
      <c r="HK156" s="74"/>
      <c r="HL156" s="74"/>
      <c r="HM156" s="74"/>
      <c r="HN156" s="74"/>
      <c r="HO156" s="74"/>
      <c r="HP156" s="74"/>
      <c r="HQ156" s="74"/>
      <c r="HR156" s="74"/>
      <c r="HS156" s="74"/>
      <c r="HT156" s="74"/>
      <c r="HU156" s="74"/>
      <c r="HV156" s="74"/>
      <c r="HW156" s="74"/>
      <c r="HX156" s="74"/>
      <c r="HY156" s="74"/>
      <c r="HZ156" s="74"/>
      <c r="IA156" s="74"/>
      <c r="IB156" s="74"/>
      <c r="IC156" s="74"/>
      <c r="ID156" s="74"/>
      <c r="IE156" s="74"/>
      <c r="IF156" s="74"/>
      <c r="IG156" s="74"/>
      <c r="IH156" s="74"/>
      <c r="II156" s="74"/>
      <c r="IJ156" s="74"/>
      <c r="IK156" s="74"/>
      <c r="IL156" s="74"/>
      <c r="IM156" s="74"/>
      <c r="IN156" s="74"/>
      <c r="IO156" s="74"/>
      <c r="IP156" s="74"/>
      <c r="IQ156" s="74"/>
      <c r="IR156" s="74"/>
      <c r="IS156" s="74"/>
      <c r="IT156" s="74"/>
      <c r="IU156" s="74"/>
      <c r="IV156" s="74"/>
    </row>
    <row r="157" spans="1:256" s="95" customFormat="1" ht="27" customHeight="1">
      <c r="A157" s="208" t="s">
        <v>551</v>
      </c>
      <c r="B157" s="118"/>
      <c r="C157" s="35"/>
      <c r="D157" s="36" t="s">
        <v>92</v>
      </c>
      <c r="E157" s="36" t="s">
        <v>33</v>
      </c>
      <c r="F157" s="185">
        <f>F155</f>
        <v>0.223</v>
      </c>
      <c r="G157" s="468"/>
      <c r="H157" s="210">
        <f>F157*G157</f>
        <v>0</v>
      </c>
      <c r="I157" s="38"/>
      <c r="J157" s="213"/>
      <c r="K157" s="109"/>
      <c r="L157" s="109"/>
      <c r="M157" s="109"/>
      <c r="N157" s="109"/>
      <c r="O157" s="109"/>
      <c r="P157" s="109"/>
      <c r="Q157" s="111"/>
      <c r="R157" s="29"/>
      <c r="S157" s="74"/>
      <c r="T157" s="74"/>
      <c r="U157" s="74"/>
      <c r="V157" s="74"/>
      <c r="W157" s="74"/>
      <c r="X157" s="74"/>
      <c r="Y157" s="74"/>
      <c r="Z157" s="74"/>
      <c r="AA157" s="74"/>
      <c r="AB157" s="74"/>
      <c r="AC157" s="74"/>
      <c r="AD157" s="74"/>
      <c r="AE157" s="74"/>
      <c r="AF157" s="74"/>
      <c r="AG157" s="74"/>
      <c r="AH157" s="74"/>
      <c r="AI157" s="74"/>
      <c r="AJ157" s="74"/>
      <c r="AK157" s="74"/>
      <c r="AL157" s="74"/>
      <c r="AM157" s="74"/>
      <c r="AN157" s="74"/>
      <c r="AO157" s="74"/>
      <c r="AP157" s="74"/>
      <c r="AQ157" s="74"/>
      <c r="AR157" s="74"/>
      <c r="AS157" s="74"/>
      <c r="AT157" s="74"/>
      <c r="AU157" s="74"/>
      <c r="AV157" s="74"/>
      <c r="AW157" s="74"/>
      <c r="AX157" s="74"/>
      <c r="AY157" s="74"/>
      <c r="AZ157" s="74"/>
      <c r="BA157" s="74"/>
      <c r="BB157" s="74"/>
      <c r="BC157" s="74"/>
      <c r="BD157" s="74"/>
      <c r="BE157" s="74"/>
      <c r="BF157" s="74"/>
      <c r="BG157" s="74"/>
      <c r="BH157" s="74"/>
      <c r="BI157" s="74"/>
      <c r="BJ157" s="74"/>
      <c r="BK157" s="74"/>
      <c r="BL157" s="74"/>
      <c r="BM157" s="74"/>
      <c r="BN157" s="74"/>
      <c r="BO157" s="74"/>
      <c r="BP157" s="74"/>
      <c r="BQ157" s="74"/>
      <c r="BR157" s="74"/>
      <c r="BS157" s="74"/>
      <c r="BT157" s="74"/>
      <c r="BU157" s="74"/>
      <c r="BV157" s="74"/>
      <c r="BW157" s="74"/>
      <c r="BX157" s="74"/>
      <c r="BY157" s="74"/>
      <c r="BZ157" s="74"/>
      <c r="CA157" s="74"/>
      <c r="CB157" s="74"/>
      <c r="CC157" s="74"/>
      <c r="CD157" s="74"/>
      <c r="CE157" s="74"/>
      <c r="CF157" s="74"/>
      <c r="CG157" s="74"/>
      <c r="CH157" s="74"/>
      <c r="CI157" s="74"/>
      <c r="CJ157" s="74"/>
      <c r="CK157" s="74"/>
      <c r="CL157" s="74"/>
      <c r="CM157" s="74"/>
      <c r="CN157" s="74"/>
      <c r="CO157" s="74"/>
      <c r="CP157" s="74"/>
      <c r="CQ157" s="74"/>
      <c r="CR157" s="74"/>
      <c r="CS157" s="74"/>
      <c r="CT157" s="74"/>
      <c r="CU157" s="74"/>
      <c r="CV157" s="74"/>
      <c r="CW157" s="74"/>
      <c r="CX157" s="74"/>
      <c r="CY157" s="74"/>
      <c r="CZ157" s="74"/>
      <c r="DA157" s="74"/>
      <c r="DB157" s="74"/>
      <c r="DC157" s="74"/>
      <c r="DD157" s="74"/>
      <c r="DE157" s="74"/>
      <c r="DF157" s="74"/>
      <c r="DG157" s="74"/>
      <c r="DH157" s="74"/>
      <c r="DI157" s="74"/>
      <c r="DJ157" s="74"/>
      <c r="DK157" s="74"/>
      <c r="DL157" s="74"/>
      <c r="DM157" s="74"/>
      <c r="DN157" s="74"/>
      <c r="DO157" s="74"/>
      <c r="DP157" s="74"/>
      <c r="DQ157" s="74"/>
      <c r="DR157" s="74"/>
      <c r="DS157" s="74"/>
      <c r="DT157" s="74"/>
      <c r="DU157" s="74"/>
      <c r="DV157" s="74"/>
      <c r="DW157" s="74"/>
      <c r="DX157" s="74"/>
      <c r="DY157" s="74"/>
      <c r="DZ157" s="74"/>
      <c r="EA157" s="74"/>
      <c r="EB157" s="74"/>
      <c r="EC157" s="74"/>
      <c r="ED157" s="74"/>
      <c r="EE157" s="74"/>
      <c r="EF157" s="74"/>
      <c r="EG157" s="74"/>
      <c r="EH157" s="74"/>
      <c r="EI157" s="74"/>
      <c r="EJ157" s="74"/>
      <c r="EK157" s="74"/>
      <c r="EL157" s="74"/>
      <c r="EM157" s="74"/>
      <c r="EN157" s="74"/>
      <c r="EO157" s="74"/>
      <c r="EP157" s="74"/>
      <c r="EQ157" s="74"/>
      <c r="ER157" s="74"/>
      <c r="ES157" s="74"/>
      <c r="ET157" s="74"/>
      <c r="EU157" s="74"/>
      <c r="EV157" s="74"/>
      <c r="EW157" s="74"/>
      <c r="EX157" s="74"/>
      <c r="EY157" s="74"/>
      <c r="EZ157" s="74"/>
      <c r="FA157" s="74"/>
      <c r="FB157" s="74"/>
      <c r="FC157" s="74"/>
      <c r="FD157" s="74"/>
      <c r="FE157" s="74"/>
      <c r="FF157" s="74"/>
      <c r="FG157" s="74"/>
      <c r="FH157" s="74"/>
      <c r="FI157" s="74"/>
      <c r="FJ157" s="74"/>
      <c r="FK157" s="74"/>
      <c r="FL157" s="74"/>
      <c r="FM157" s="74"/>
      <c r="FN157" s="74"/>
      <c r="FO157" s="74"/>
      <c r="FP157" s="74"/>
      <c r="FQ157" s="74"/>
      <c r="FR157" s="74"/>
      <c r="FS157" s="74"/>
      <c r="FT157" s="74"/>
      <c r="FU157" s="74"/>
      <c r="FV157" s="74"/>
      <c r="FW157" s="74"/>
      <c r="FX157" s="74"/>
      <c r="FY157" s="74"/>
      <c r="FZ157" s="74"/>
      <c r="GA157" s="74"/>
      <c r="GB157" s="74"/>
      <c r="GC157" s="74"/>
      <c r="GD157" s="74"/>
      <c r="GE157" s="74"/>
      <c r="GF157" s="74"/>
      <c r="GG157" s="74"/>
      <c r="GH157" s="74"/>
      <c r="GI157" s="74"/>
      <c r="GJ157" s="74"/>
      <c r="GK157" s="74"/>
      <c r="GL157" s="74"/>
      <c r="GM157" s="74"/>
      <c r="GN157" s="74"/>
      <c r="GO157" s="74"/>
      <c r="GP157" s="74"/>
      <c r="GQ157" s="74"/>
      <c r="GR157" s="74"/>
      <c r="GS157" s="74"/>
      <c r="GT157" s="74"/>
      <c r="GU157" s="74"/>
      <c r="GV157" s="74"/>
      <c r="GW157" s="74"/>
      <c r="GX157" s="74"/>
      <c r="GY157" s="74"/>
      <c r="GZ157" s="74"/>
      <c r="HA157" s="74"/>
      <c r="HB157" s="74"/>
      <c r="HC157" s="74"/>
      <c r="HD157" s="74"/>
      <c r="HE157" s="74"/>
      <c r="HF157" s="74"/>
      <c r="HG157" s="74"/>
      <c r="HH157" s="74"/>
      <c r="HI157" s="74"/>
      <c r="HJ157" s="74"/>
      <c r="HK157" s="74"/>
      <c r="HL157" s="74"/>
      <c r="HM157" s="74"/>
      <c r="HN157" s="74"/>
      <c r="HO157" s="74"/>
      <c r="HP157" s="74"/>
      <c r="HQ157" s="74"/>
      <c r="HR157" s="74"/>
      <c r="HS157" s="74"/>
      <c r="HT157" s="74"/>
      <c r="HU157" s="74"/>
      <c r="HV157" s="74"/>
      <c r="HW157" s="74"/>
      <c r="HX157" s="74"/>
      <c r="HY157" s="74"/>
      <c r="HZ157" s="74"/>
      <c r="IA157" s="74"/>
      <c r="IB157" s="74"/>
      <c r="IC157" s="74"/>
      <c r="ID157" s="74"/>
      <c r="IE157" s="74"/>
      <c r="IF157" s="74"/>
      <c r="IG157" s="74"/>
      <c r="IH157" s="74"/>
      <c r="II157" s="74"/>
      <c r="IJ157" s="74"/>
      <c r="IK157" s="74"/>
      <c r="IL157" s="74"/>
      <c r="IM157" s="74"/>
      <c r="IN157" s="74"/>
      <c r="IO157" s="74"/>
      <c r="IP157" s="74"/>
      <c r="IQ157" s="74"/>
      <c r="IR157" s="74"/>
      <c r="IS157" s="74"/>
      <c r="IT157" s="74"/>
      <c r="IU157" s="74"/>
      <c r="IV157" s="74"/>
    </row>
    <row r="158" spans="1:256" s="95" customFormat="1" ht="67.5" customHeight="1">
      <c r="A158" s="204"/>
      <c r="B158" s="118"/>
      <c r="C158" s="35"/>
      <c r="D158" s="119" t="s">
        <v>146</v>
      </c>
      <c r="E158" s="36"/>
      <c r="G158" s="47"/>
      <c r="H158" s="48"/>
      <c r="I158" s="38"/>
      <c r="J158" s="214"/>
      <c r="K158" s="109"/>
      <c r="L158" s="109"/>
      <c r="M158" s="109"/>
      <c r="N158" s="109"/>
      <c r="O158" s="109"/>
      <c r="P158" s="109"/>
      <c r="Q158" s="111"/>
      <c r="R158" s="74"/>
      <c r="S158" s="74"/>
      <c r="T158" s="74"/>
      <c r="U158" s="74"/>
      <c r="V158" s="74"/>
      <c r="W158" s="74"/>
      <c r="X158" s="74"/>
      <c r="Y158" s="74"/>
      <c r="Z158" s="74"/>
      <c r="AA158" s="74"/>
      <c r="AB158" s="74"/>
      <c r="AC158" s="74"/>
      <c r="AD158" s="74"/>
      <c r="AE158" s="74"/>
      <c r="AF158" s="74"/>
      <c r="AG158" s="74"/>
      <c r="AH158" s="74"/>
      <c r="AI158" s="74"/>
      <c r="AJ158" s="74"/>
      <c r="AK158" s="74"/>
      <c r="AL158" s="74"/>
      <c r="AM158" s="74"/>
      <c r="AN158" s="74"/>
      <c r="AO158" s="74"/>
      <c r="AP158" s="74"/>
      <c r="AQ158" s="74"/>
      <c r="AR158" s="74"/>
      <c r="AS158" s="74"/>
      <c r="AT158" s="74"/>
      <c r="AU158" s="74"/>
      <c r="AV158" s="74"/>
      <c r="AW158" s="74"/>
      <c r="AX158" s="74"/>
      <c r="AY158" s="74"/>
      <c r="AZ158" s="74"/>
      <c r="BA158" s="74"/>
      <c r="BB158" s="74"/>
      <c r="BC158" s="74"/>
      <c r="BD158" s="74"/>
      <c r="BE158" s="74"/>
      <c r="BF158" s="74"/>
      <c r="BG158" s="74"/>
      <c r="BH158" s="74"/>
      <c r="BI158" s="74"/>
      <c r="BJ158" s="74"/>
      <c r="BK158" s="74"/>
      <c r="BL158" s="74"/>
      <c r="BM158" s="74"/>
      <c r="BN158" s="74"/>
      <c r="BO158" s="74"/>
      <c r="BP158" s="74"/>
      <c r="BQ158" s="74"/>
      <c r="BR158" s="74"/>
      <c r="BS158" s="74"/>
      <c r="BT158" s="74"/>
      <c r="BU158" s="74"/>
      <c r="BV158" s="74"/>
      <c r="BW158" s="74"/>
      <c r="BX158" s="74"/>
      <c r="BY158" s="74"/>
      <c r="BZ158" s="74"/>
      <c r="CA158" s="74"/>
      <c r="CB158" s="74"/>
      <c r="CC158" s="74"/>
      <c r="CD158" s="74"/>
      <c r="CE158" s="74"/>
      <c r="CF158" s="74"/>
      <c r="CG158" s="74"/>
      <c r="CH158" s="74"/>
      <c r="CI158" s="74"/>
      <c r="CJ158" s="74"/>
      <c r="CK158" s="74"/>
      <c r="CL158" s="74"/>
      <c r="CM158" s="74"/>
      <c r="CN158" s="74"/>
      <c r="CO158" s="74"/>
      <c r="CP158" s="74"/>
      <c r="CQ158" s="74"/>
      <c r="CR158" s="74"/>
      <c r="CS158" s="74"/>
      <c r="CT158" s="74"/>
      <c r="CU158" s="74"/>
      <c r="CV158" s="74"/>
      <c r="CW158" s="74"/>
      <c r="CX158" s="74"/>
      <c r="CY158" s="74"/>
      <c r="CZ158" s="74"/>
      <c r="DA158" s="74"/>
      <c r="DB158" s="74"/>
      <c r="DC158" s="74"/>
      <c r="DD158" s="74"/>
      <c r="DE158" s="74"/>
      <c r="DF158" s="74"/>
      <c r="DG158" s="74"/>
      <c r="DH158" s="74"/>
      <c r="DI158" s="74"/>
      <c r="DJ158" s="74"/>
      <c r="DK158" s="74"/>
      <c r="DL158" s="74"/>
      <c r="DM158" s="74"/>
      <c r="DN158" s="74"/>
      <c r="DO158" s="74"/>
      <c r="DP158" s="74"/>
      <c r="DQ158" s="74"/>
      <c r="DR158" s="74"/>
      <c r="DS158" s="74"/>
      <c r="DT158" s="74"/>
      <c r="DU158" s="74"/>
      <c r="DV158" s="74"/>
      <c r="DW158" s="74"/>
      <c r="DX158" s="74"/>
      <c r="DY158" s="74"/>
      <c r="DZ158" s="74"/>
      <c r="EA158" s="74"/>
      <c r="EB158" s="74"/>
      <c r="EC158" s="74"/>
      <c r="ED158" s="74"/>
      <c r="EE158" s="74"/>
      <c r="EF158" s="74"/>
      <c r="EG158" s="74"/>
      <c r="EH158" s="74"/>
      <c r="EI158" s="74"/>
      <c r="EJ158" s="74"/>
      <c r="EK158" s="74"/>
      <c r="EL158" s="74"/>
      <c r="EM158" s="74"/>
      <c r="EN158" s="74"/>
      <c r="EO158" s="74"/>
      <c r="EP158" s="74"/>
      <c r="EQ158" s="74"/>
      <c r="ER158" s="74"/>
      <c r="ES158" s="74"/>
      <c r="ET158" s="74"/>
      <c r="EU158" s="74"/>
      <c r="EV158" s="74"/>
      <c r="EW158" s="74"/>
      <c r="EX158" s="74"/>
      <c r="EY158" s="74"/>
      <c r="EZ158" s="74"/>
      <c r="FA158" s="74"/>
      <c r="FB158" s="74"/>
      <c r="FC158" s="74"/>
      <c r="FD158" s="74"/>
      <c r="FE158" s="74"/>
      <c r="FF158" s="74"/>
      <c r="FG158" s="74"/>
      <c r="FH158" s="74"/>
      <c r="FI158" s="74"/>
      <c r="FJ158" s="74"/>
      <c r="FK158" s="74"/>
      <c r="FL158" s="74"/>
      <c r="FM158" s="74"/>
      <c r="FN158" s="74"/>
      <c r="FO158" s="74"/>
      <c r="FP158" s="74"/>
      <c r="FQ158" s="74"/>
      <c r="FR158" s="74"/>
      <c r="FS158" s="74"/>
      <c r="FT158" s="74"/>
      <c r="FU158" s="74"/>
      <c r="FV158" s="74"/>
      <c r="FW158" s="74"/>
      <c r="FX158" s="74"/>
      <c r="FY158" s="74"/>
      <c r="FZ158" s="74"/>
      <c r="GA158" s="74"/>
      <c r="GB158" s="74"/>
      <c r="GC158" s="74"/>
      <c r="GD158" s="74"/>
      <c r="GE158" s="74"/>
      <c r="GF158" s="74"/>
      <c r="GG158" s="74"/>
      <c r="GH158" s="74"/>
      <c r="GI158" s="74"/>
      <c r="GJ158" s="74"/>
      <c r="GK158" s="74"/>
      <c r="GL158" s="74"/>
      <c r="GM158" s="74"/>
      <c r="GN158" s="74"/>
      <c r="GO158" s="74"/>
      <c r="GP158" s="74"/>
      <c r="GQ158" s="74"/>
      <c r="GR158" s="74"/>
      <c r="GS158" s="74"/>
      <c r="GT158" s="74"/>
      <c r="GU158" s="74"/>
      <c r="GV158" s="74"/>
      <c r="GW158" s="74"/>
      <c r="GX158" s="74"/>
      <c r="GY158" s="74"/>
      <c r="GZ158" s="74"/>
      <c r="HA158" s="74"/>
      <c r="HB158" s="74"/>
      <c r="HC158" s="74"/>
      <c r="HD158" s="74"/>
      <c r="HE158" s="74"/>
      <c r="HF158" s="74"/>
      <c r="HG158" s="74"/>
      <c r="HH158" s="74"/>
      <c r="HI158" s="74"/>
      <c r="HJ158" s="74"/>
      <c r="HK158" s="74"/>
      <c r="HL158" s="74"/>
      <c r="HM158" s="74"/>
      <c r="HN158" s="74"/>
      <c r="HO158" s="74"/>
      <c r="HP158" s="74"/>
      <c r="HQ158" s="74"/>
      <c r="HR158" s="74"/>
      <c r="HS158" s="74"/>
      <c r="HT158" s="74"/>
      <c r="HU158" s="74"/>
      <c r="HV158" s="74"/>
      <c r="HW158" s="74"/>
      <c r="HX158" s="74"/>
      <c r="HY158" s="74"/>
      <c r="HZ158" s="74"/>
      <c r="IA158" s="74"/>
      <c r="IB158" s="74"/>
      <c r="IC158" s="74"/>
      <c r="ID158" s="74"/>
      <c r="IE158" s="74"/>
      <c r="IF158" s="74"/>
      <c r="IG158" s="74"/>
      <c r="IH158" s="74"/>
      <c r="II158" s="74"/>
      <c r="IJ158" s="74"/>
      <c r="IK158" s="74"/>
      <c r="IL158" s="74"/>
      <c r="IM158" s="74"/>
      <c r="IN158" s="74"/>
      <c r="IO158" s="74"/>
      <c r="IP158" s="74"/>
      <c r="IQ158" s="74"/>
      <c r="IR158" s="74"/>
      <c r="IS158" s="74"/>
      <c r="IT158" s="74"/>
      <c r="IU158" s="74"/>
      <c r="IV158" s="74"/>
    </row>
    <row r="159" spans="1:256" s="110" customFormat="1" ht="13.5" customHeight="1">
      <c r="A159" s="215"/>
      <c r="B159" s="115"/>
      <c r="C159" s="115" t="s">
        <v>43</v>
      </c>
      <c r="D159" s="115" t="s">
        <v>44</v>
      </c>
      <c r="E159" s="115"/>
      <c r="F159" s="216"/>
      <c r="G159" s="217"/>
      <c r="H159" s="217">
        <f>SUM(H160:H162)</f>
        <v>0</v>
      </c>
      <c r="I159" s="218"/>
      <c r="J159" s="219"/>
    </row>
    <row r="160" spans="1:256" s="110" customFormat="1" ht="13.5" customHeight="1">
      <c r="A160" s="175">
        <v>29</v>
      </c>
      <c r="B160" s="176" t="s">
        <v>34</v>
      </c>
      <c r="C160" s="104">
        <v>998018002</v>
      </c>
      <c r="D160" s="104" t="s">
        <v>182</v>
      </c>
      <c r="E160" s="105" t="s">
        <v>33</v>
      </c>
      <c r="F160" s="106">
        <v>22.786000000000001</v>
      </c>
      <c r="G160" s="463"/>
      <c r="H160" s="107">
        <f>F160*G160</f>
        <v>0</v>
      </c>
      <c r="I160" s="113" t="s">
        <v>254</v>
      </c>
      <c r="J160" s="220"/>
      <c r="K160" s="221"/>
    </row>
    <row r="161" spans="1:98" s="222" customFormat="1" ht="13.5" customHeight="1">
      <c r="A161" s="175">
        <v>30</v>
      </c>
      <c r="B161" s="104" t="s">
        <v>45</v>
      </c>
      <c r="C161" s="104" t="s">
        <v>46</v>
      </c>
      <c r="D161" s="104" t="s">
        <v>47</v>
      </c>
      <c r="E161" s="104" t="s">
        <v>31</v>
      </c>
      <c r="F161" s="178">
        <f>F162</f>
        <v>10</v>
      </c>
      <c r="G161" s="463"/>
      <c r="H161" s="107">
        <f>F161*G161</f>
        <v>0</v>
      </c>
      <c r="I161" s="113" t="s">
        <v>254</v>
      </c>
    </row>
    <row r="162" spans="1:98" s="222" customFormat="1" ht="27" customHeight="1">
      <c r="A162" s="175"/>
      <c r="B162" s="104"/>
      <c r="C162" s="223"/>
      <c r="D162" s="224" t="s">
        <v>48</v>
      </c>
      <c r="E162" s="223"/>
      <c r="F162" s="225">
        <v>10</v>
      </c>
      <c r="G162" s="226"/>
      <c r="H162" s="226"/>
      <c r="I162" s="227"/>
    </row>
    <row r="163" spans="1:98" s="110" customFormat="1" ht="21" customHeight="1">
      <c r="A163" s="228"/>
      <c r="B163" s="115"/>
      <c r="C163" s="115" t="s">
        <v>21</v>
      </c>
      <c r="D163" s="115" t="s">
        <v>22</v>
      </c>
      <c r="E163" s="115"/>
      <c r="F163" s="229"/>
      <c r="G163" s="217"/>
      <c r="H163" s="217">
        <f>H164+H173+H192+H281+H428+H499</f>
        <v>0</v>
      </c>
      <c r="I163" s="218"/>
    </row>
    <row r="164" spans="1:98" s="95" customFormat="1" ht="13.5" customHeight="1">
      <c r="A164" s="230"/>
      <c r="B164" s="88"/>
      <c r="C164" s="88">
        <v>714</v>
      </c>
      <c r="D164" s="88" t="s">
        <v>312</v>
      </c>
      <c r="E164" s="88"/>
      <c r="F164" s="89"/>
      <c r="G164" s="231"/>
      <c r="H164" s="91">
        <f>SUM(H165:H172)</f>
        <v>0</v>
      </c>
      <c r="I164" s="232"/>
    </row>
    <row r="165" spans="1:98" ht="13.5" customHeight="1">
      <c r="A165" s="233">
        <v>31</v>
      </c>
      <c r="B165" s="10">
        <v>714</v>
      </c>
      <c r="C165" s="10" t="s">
        <v>313</v>
      </c>
      <c r="D165" s="10" t="s">
        <v>320</v>
      </c>
      <c r="E165" s="10" t="s">
        <v>20</v>
      </c>
      <c r="F165" s="96">
        <f>SUM(F167)</f>
        <v>27.24315</v>
      </c>
      <c r="G165" s="461"/>
      <c r="H165" s="146">
        <f>F165*G165</f>
        <v>0</v>
      </c>
      <c r="I165" s="97" t="s">
        <v>306</v>
      </c>
      <c r="L165" s="109"/>
      <c r="M165" s="109"/>
      <c r="N165" s="109"/>
      <c r="O165" s="109"/>
      <c r="P165" s="109"/>
      <c r="Q165" s="160"/>
    </row>
    <row r="166" spans="1:98" ht="54" customHeight="1">
      <c r="A166" s="233"/>
      <c r="B166" s="234"/>
      <c r="C166" s="234"/>
      <c r="D166" s="163" t="s">
        <v>582</v>
      </c>
      <c r="E166" s="234"/>
      <c r="F166" s="74"/>
      <c r="G166" s="235"/>
      <c r="H166" s="235"/>
      <c r="I166" s="236"/>
      <c r="J166" s="109"/>
    </row>
    <row r="167" spans="1:98" ht="27" customHeight="1">
      <c r="A167" s="233"/>
      <c r="B167" s="234"/>
      <c r="C167" s="234"/>
      <c r="D167" s="36" t="s">
        <v>321</v>
      </c>
      <c r="E167" s="234"/>
      <c r="F167" s="37">
        <f>((5.24+4.69)*2.8-1.35*2.25)*1.1</f>
        <v>27.24315</v>
      </c>
      <c r="G167" s="235"/>
      <c r="H167" s="235"/>
      <c r="I167" s="236"/>
      <c r="J167" s="237"/>
    </row>
    <row r="168" spans="1:98" ht="27" customHeight="1">
      <c r="A168" s="233"/>
      <c r="B168" s="234"/>
      <c r="C168" s="234"/>
      <c r="D168" s="36" t="s">
        <v>314</v>
      </c>
      <c r="E168" s="234"/>
      <c r="F168" s="37"/>
      <c r="G168" s="235"/>
      <c r="H168" s="235"/>
      <c r="I168" s="238"/>
      <c r="J168" s="239"/>
    </row>
    <row r="169" spans="1:98" s="241" customFormat="1" ht="13.5" customHeight="1">
      <c r="A169" s="145">
        <v>32</v>
      </c>
      <c r="B169" s="39" t="s">
        <v>315</v>
      </c>
      <c r="C169" s="10">
        <v>998714202</v>
      </c>
      <c r="D169" s="10" t="s">
        <v>319</v>
      </c>
      <c r="E169" s="10" t="s">
        <v>49</v>
      </c>
      <c r="F169" s="96">
        <v>1.07</v>
      </c>
      <c r="G169" s="461"/>
      <c r="H169" s="146">
        <f>F169*G169</f>
        <v>0</v>
      </c>
      <c r="I169" s="97" t="s">
        <v>254</v>
      </c>
      <c r="J169" s="240"/>
      <c r="K169" s="95"/>
      <c r="L169" s="95"/>
      <c r="M169" s="95"/>
      <c r="N169" s="95"/>
      <c r="O169" s="95"/>
      <c r="P169" s="95"/>
      <c r="Q169" s="95"/>
      <c r="R169" s="95"/>
      <c r="S169" s="95"/>
      <c r="T169" s="95"/>
      <c r="U169" s="95"/>
      <c r="V169" s="95"/>
      <c r="W169" s="95"/>
      <c r="X169" s="95"/>
      <c r="Y169" s="95"/>
      <c r="Z169" s="95"/>
      <c r="AA169" s="95"/>
      <c r="AB169" s="95"/>
      <c r="AC169" s="95"/>
      <c r="AD169" s="95"/>
      <c r="AE169" s="95"/>
      <c r="AF169" s="95"/>
      <c r="AG169" s="95"/>
      <c r="AH169" s="95"/>
      <c r="AI169" s="95"/>
      <c r="AJ169" s="95"/>
      <c r="AK169" s="95"/>
      <c r="AL169" s="95"/>
      <c r="AM169" s="95"/>
      <c r="AN169" s="95"/>
      <c r="AO169" s="95"/>
      <c r="AP169" s="95"/>
      <c r="AQ169" s="95"/>
      <c r="AR169" s="95"/>
      <c r="AS169" s="95"/>
      <c r="AT169" s="95"/>
      <c r="AU169" s="95"/>
      <c r="AV169" s="95"/>
      <c r="AW169" s="95"/>
      <c r="AX169" s="95"/>
      <c r="AY169" s="95"/>
      <c r="AZ169" s="95"/>
      <c r="BA169" s="95"/>
      <c r="BB169" s="95"/>
      <c r="BC169" s="95"/>
      <c r="BD169" s="95"/>
      <c r="BE169" s="95"/>
      <c r="BF169" s="95"/>
      <c r="BG169" s="95"/>
      <c r="BH169" s="95"/>
      <c r="BI169" s="95"/>
      <c r="BJ169" s="95"/>
    </row>
    <row r="170" spans="1:98" s="111" customFormat="1" ht="13.5" customHeight="1">
      <c r="A170" s="145">
        <v>33</v>
      </c>
      <c r="B170" s="10" t="s">
        <v>45</v>
      </c>
      <c r="C170" s="10" t="s">
        <v>316</v>
      </c>
      <c r="D170" s="10" t="s">
        <v>317</v>
      </c>
      <c r="E170" s="10" t="s">
        <v>31</v>
      </c>
      <c r="F170" s="96">
        <f>F171</f>
        <v>5</v>
      </c>
      <c r="G170" s="461"/>
      <c r="H170" s="146">
        <f>F170*G170</f>
        <v>0</v>
      </c>
      <c r="I170" s="97" t="s">
        <v>254</v>
      </c>
      <c r="J170" s="242"/>
    </row>
    <row r="171" spans="1:98" s="95" customFormat="1" ht="13.5" customHeight="1">
      <c r="A171" s="243"/>
      <c r="B171" s="35"/>
      <c r="C171" s="35"/>
      <c r="D171" s="36" t="s">
        <v>318</v>
      </c>
      <c r="E171" s="35"/>
      <c r="F171" s="37">
        <v>5</v>
      </c>
      <c r="G171" s="244"/>
      <c r="H171" s="146"/>
      <c r="I171" s="38"/>
    </row>
    <row r="172" spans="1:98" s="95" customFormat="1" ht="13.5" customHeight="1">
      <c r="A172" s="243"/>
      <c r="B172" s="35"/>
      <c r="C172" s="35"/>
      <c r="D172" s="36" t="s">
        <v>57</v>
      </c>
      <c r="E172" s="35"/>
      <c r="F172" s="37"/>
      <c r="G172" s="244"/>
      <c r="H172" s="146"/>
      <c r="I172" s="38"/>
    </row>
    <row r="173" spans="1:98" s="241" customFormat="1" ht="13.5" customHeight="1">
      <c r="A173" s="230"/>
      <c r="B173" s="88"/>
      <c r="C173" s="88">
        <v>751</v>
      </c>
      <c r="D173" s="88" t="s">
        <v>494</v>
      </c>
      <c r="E173" s="88"/>
      <c r="F173" s="89"/>
      <c r="G173" s="231"/>
      <c r="H173" s="231">
        <f>SUM(H174:H191)</f>
        <v>0</v>
      </c>
      <c r="I173" s="92"/>
      <c r="J173" s="95"/>
      <c r="K173" s="95"/>
      <c r="L173" s="95"/>
      <c r="M173" s="95"/>
      <c r="N173" s="95"/>
      <c r="O173" s="95"/>
      <c r="P173" s="95"/>
      <c r="Q173" s="95"/>
      <c r="R173" s="95"/>
      <c r="S173" s="95"/>
      <c r="T173" s="95"/>
      <c r="U173" s="95"/>
      <c r="V173" s="95"/>
      <c r="W173" s="95"/>
      <c r="X173" s="95"/>
      <c r="Y173" s="95"/>
      <c r="Z173" s="95"/>
      <c r="AA173" s="95"/>
      <c r="AB173" s="95"/>
      <c r="AC173" s="95"/>
      <c r="AD173" s="95"/>
      <c r="AE173" s="95"/>
      <c r="AF173" s="95"/>
      <c r="AG173" s="95"/>
      <c r="AH173" s="95"/>
      <c r="AI173" s="95"/>
      <c r="AJ173" s="95"/>
      <c r="AK173" s="95"/>
      <c r="AL173" s="95"/>
      <c r="AM173" s="95"/>
      <c r="AN173" s="95"/>
      <c r="AO173" s="95"/>
      <c r="AP173" s="95"/>
      <c r="AQ173" s="95"/>
      <c r="AR173" s="95"/>
      <c r="AS173" s="95"/>
      <c r="AT173" s="95"/>
      <c r="AU173" s="95"/>
      <c r="AV173" s="95"/>
      <c r="AW173" s="95"/>
      <c r="AX173" s="95"/>
      <c r="AY173" s="95"/>
      <c r="AZ173" s="95"/>
      <c r="BA173" s="95"/>
      <c r="BB173" s="95"/>
      <c r="BC173" s="95"/>
      <c r="BD173" s="95"/>
      <c r="BE173" s="95"/>
      <c r="BF173" s="95"/>
      <c r="BG173" s="95"/>
      <c r="BH173" s="95"/>
      <c r="BI173" s="95"/>
      <c r="BJ173" s="95"/>
      <c r="BK173" s="95"/>
      <c r="BL173" s="95"/>
      <c r="BM173" s="95"/>
      <c r="BN173" s="95"/>
      <c r="BO173" s="95"/>
      <c r="BP173" s="95"/>
      <c r="BQ173" s="95"/>
      <c r="BR173" s="95"/>
      <c r="BS173" s="95"/>
      <c r="BT173" s="95"/>
      <c r="BU173" s="95"/>
      <c r="BV173" s="95"/>
      <c r="BW173" s="95"/>
      <c r="BX173" s="95"/>
      <c r="BY173" s="95"/>
      <c r="BZ173" s="95"/>
      <c r="CA173" s="95"/>
      <c r="CB173" s="95"/>
      <c r="CC173" s="95"/>
      <c r="CD173" s="95"/>
      <c r="CE173" s="95"/>
      <c r="CF173" s="95"/>
      <c r="CG173" s="95"/>
      <c r="CH173" s="95"/>
      <c r="CI173" s="95"/>
      <c r="CJ173" s="95"/>
      <c r="CK173" s="95"/>
      <c r="CL173" s="95"/>
      <c r="CM173" s="95"/>
      <c r="CN173" s="95"/>
      <c r="CO173" s="95"/>
      <c r="CP173" s="95"/>
      <c r="CQ173" s="95"/>
      <c r="CR173" s="95"/>
      <c r="CS173" s="95"/>
      <c r="CT173" s="95"/>
    </row>
    <row r="174" spans="1:98" ht="13.5" customHeight="1">
      <c r="A174" s="145">
        <v>34</v>
      </c>
      <c r="B174" s="10" t="s">
        <v>480</v>
      </c>
      <c r="C174" s="10" t="s">
        <v>481</v>
      </c>
      <c r="D174" s="10" t="s">
        <v>482</v>
      </c>
      <c r="E174" s="10" t="s">
        <v>32</v>
      </c>
      <c r="F174" s="96">
        <f>SUM(F176:F176)</f>
        <v>5.5</v>
      </c>
      <c r="G174" s="461"/>
      <c r="H174" s="146">
        <f>F174*G174</f>
        <v>0</v>
      </c>
      <c r="I174" s="97" t="s">
        <v>306</v>
      </c>
      <c r="J174" s="29"/>
      <c r="K174" s="245"/>
      <c r="L174" s="109"/>
      <c r="M174" s="109"/>
      <c r="N174" s="109"/>
      <c r="O174" s="109"/>
      <c r="P174" s="109"/>
      <c r="Q174" s="160"/>
      <c r="R174" s="246"/>
    </row>
    <row r="175" spans="1:98" ht="27" customHeight="1">
      <c r="A175" s="233"/>
      <c r="B175" s="234"/>
      <c r="C175" s="234"/>
      <c r="D175" s="36" t="s">
        <v>483</v>
      </c>
      <c r="E175" s="234"/>
      <c r="F175" s="37"/>
      <c r="G175" s="235"/>
      <c r="H175" s="235"/>
      <c r="I175" s="247"/>
      <c r="J175" s="29"/>
      <c r="K175" s="245"/>
      <c r="L175" s="95"/>
      <c r="M175" s="95"/>
      <c r="N175" s="95"/>
      <c r="O175" s="95"/>
      <c r="P175" s="95"/>
      <c r="Q175" s="95"/>
      <c r="R175" s="246"/>
      <c r="S175" s="95"/>
      <c r="T175" s="111"/>
      <c r="U175" s="95"/>
      <c r="V175" s="95"/>
      <c r="W175" s="95"/>
      <c r="X175" s="95"/>
      <c r="Y175" s="95"/>
      <c r="Z175" s="95"/>
      <c r="AA175" s="95"/>
      <c r="AB175" s="95"/>
      <c r="AC175" s="95"/>
      <c r="AD175" s="95"/>
      <c r="AE175" s="95"/>
      <c r="AF175" s="95"/>
      <c r="AG175" s="95"/>
      <c r="AH175" s="95"/>
      <c r="AI175" s="95"/>
      <c r="AJ175" s="95"/>
      <c r="AK175" s="95"/>
      <c r="AL175" s="95"/>
      <c r="AM175" s="95"/>
      <c r="AN175" s="95"/>
      <c r="AO175" s="95"/>
      <c r="AP175" s="95"/>
      <c r="AQ175" s="95"/>
    </row>
    <row r="176" spans="1:98" s="95" customFormat="1" ht="13.5" customHeight="1">
      <c r="A176" s="243"/>
      <c r="B176" s="35"/>
      <c r="C176" s="35"/>
      <c r="D176" s="36" t="s">
        <v>496</v>
      </c>
      <c r="E176" s="35"/>
      <c r="F176" s="37">
        <f>(5)*1.1</f>
        <v>5.5</v>
      </c>
      <c r="G176" s="244"/>
      <c r="H176" s="146"/>
      <c r="I176" s="247"/>
      <c r="J176" s="29"/>
      <c r="K176" s="245"/>
    </row>
    <row r="177" spans="1:98" ht="13.5" customHeight="1">
      <c r="A177" s="233"/>
      <c r="B177" s="234"/>
      <c r="C177" s="234"/>
      <c r="D177" s="36" t="s">
        <v>484</v>
      </c>
      <c r="E177" s="234"/>
      <c r="F177" s="37"/>
      <c r="G177" s="235"/>
      <c r="H177" s="235"/>
      <c r="I177" s="236"/>
      <c r="J177" s="248"/>
      <c r="K177" s="129"/>
      <c r="L177" s="98"/>
      <c r="M177" s="98"/>
      <c r="N177" s="98"/>
      <c r="O177" s="98"/>
      <c r="P177" s="98"/>
      <c r="Q177" s="249"/>
      <c r="R177" s="98"/>
      <c r="S177" s="98"/>
      <c r="T177" s="98"/>
      <c r="U177" s="98"/>
      <c r="V177" s="246"/>
      <c r="W177" s="95"/>
      <c r="X177" s="95"/>
      <c r="Y177" s="95"/>
      <c r="Z177" s="95"/>
      <c r="AA177" s="95"/>
      <c r="AB177" s="95"/>
      <c r="AC177" s="95"/>
      <c r="AD177" s="95"/>
      <c r="AE177" s="95"/>
      <c r="AF177" s="95"/>
      <c r="AG177" s="95"/>
      <c r="AH177" s="95"/>
      <c r="AI177" s="95"/>
      <c r="AJ177" s="95"/>
      <c r="AK177" s="95"/>
      <c r="AL177" s="95"/>
      <c r="AM177" s="95"/>
      <c r="AN177" s="95"/>
      <c r="AO177" s="95"/>
      <c r="AP177" s="95"/>
      <c r="AQ177" s="95"/>
    </row>
    <row r="178" spans="1:98" ht="13.5" customHeight="1">
      <c r="A178" s="233"/>
      <c r="B178" s="234"/>
      <c r="C178" s="234"/>
      <c r="D178" s="36" t="s">
        <v>495</v>
      </c>
      <c r="E178" s="234"/>
      <c r="F178" s="37"/>
      <c r="G178" s="235"/>
      <c r="H178" s="235"/>
      <c r="I178" s="236"/>
      <c r="J178" s="248"/>
      <c r="K178" s="129"/>
      <c r="L178" s="98"/>
      <c r="M178" s="98"/>
      <c r="N178" s="98"/>
      <c r="O178" s="98"/>
      <c r="P178" s="98"/>
      <c r="Q178" s="249"/>
      <c r="R178" s="98"/>
      <c r="S178" s="98"/>
      <c r="T178" s="98"/>
      <c r="U178" s="98"/>
      <c r="V178" s="246"/>
      <c r="W178" s="95"/>
      <c r="X178" s="95"/>
      <c r="Y178" s="95"/>
      <c r="Z178" s="95"/>
      <c r="AA178" s="95"/>
      <c r="AB178" s="95"/>
      <c r="AC178" s="95"/>
      <c r="AD178" s="95"/>
      <c r="AE178" s="95"/>
      <c r="AF178" s="95"/>
      <c r="AG178" s="95"/>
      <c r="AH178" s="95"/>
      <c r="AI178" s="95"/>
      <c r="AJ178" s="95"/>
      <c r="AK178" s="95"/>
      <c r="AL178" s="95"/>
      <c r="AM178" s="95"/>
      <c r="AN178" s="95"/>
      <c r="AO178" s="95"/>
      <c r="AP178" s="95"/>
      <c r="AQ178" s="95"/>
    </row>
    <row r="179" spans="1:98" ht="13.5" customHeight="1">
      <c r="A179" s="145">
        <v>35</v>
      </c>
      <c r="B179" s="10" t="s">
        <v>480</v>
      </c>
      <c r="C179" s="10" t="s">
        <v>485</v>
      </c>
      <c r="D179" s="10" t="s">
        <v>486</v>
      </c>
      <c r="E179" s="10" t="s">
        <v>32</v>
      </c>
      <c r="F179" s="96">
        <f>SUM(F181:F181)</f>
        <v>5.5</v>
      </c>
      <c r="G179" s="461"/>
      <c r="H179" s="146">
        <f>F179*G179</f>
        <v>0</v>
      </c>
      <c r="I179" s="97" t="s">
        <v>306</v>
      </c>
      <c r="J179" s="29"/>
      <c r="K179" s="245"/>
      <c r="L179" s="109"/>
      <c r="M179" s="109"/>
      <c r="N179" s="109"/>
      <c r="O179" s="109"/>
      <c r="P179" s="109"/>
      <c r="Q179" s="160"/>
      <c r="R179" s="246"/>
    </row>
    <row r="180" spans="1:98" ht="27" customHeight="1">
      <c r="A180" s="233"/>
      <c r="B180" s="234"/>
      <c r="C180" s="234"/>
      <c r="D180" s="36" t="s">
        <v>483</v>
      </c>
      <c r="E180" s="234"/>
      <c r="F180" s="37"/>
      <c r="G180" s="235"/>
      <c r="H180" s="235"/>
      <c r="I180" s="250"/>
      <c r="J180" s="29"/>
      <c r="K180" s="245"/>
      <c r="L180" s="95"/>
      <c r="M180" s="95"/>
      <c r="N180" s="95"/>
      <c r="O180" s="95"/>
      <c r="P180" s="95"/>
      <c r="Q180" s="95"/>
      <c r="R180" s="246"/>
      <c r="S180" s="95"/>
      <c r="T180" s="111"/>
      <c r="U180" s="95"/>
      <c r="V180" s="95"/>
      <c r="W180" s="95"/>
      <c r="X180" s="95"/>
      <c r="Y180" s="95"/>
      <c r="Z180" s="95"/>
      <c r="AA180" s="95"/>
      <c r="AB180" s="95"/>
      <c r="AC180" s="95"/>
      <c r="AD180" s="95"/>
      <c r="AE180" s="95"/>
      <c r="AF180" s="95"/>
      <c r="AG180" s="95"/>
      <c r="AH180" s="95"/>
      <c r="AI180" s="95"/>
      <c r="AJ180" s="95"/>
      <c r="AK180" s="95"/>
      <c r="AL180" s="95"/>
      <c r="AM180" s="95"/>
      <c r="AN180" s="95"/>
      <c r="AO180" s="95"/>
      <c r="AP180" s="95"/>
      <c r="AQ180" s="95"/>
    </row>
    <row r="181" spans="1:98" s="95" customFormat="1" ht="13.5" customHeight="1">
      <c r="A181" s="243"/>
      <c r="B181" s="35"/>
      <c r="C181" s="35"/>
      <c r="D181" s="36" t="s">
        <v>496</v>
      </c>
      <c r="E181" s="35"/>
      <c r="F181" s="37">
        <f>(5)*1.1</f>
        <v>5.5</v>
      </c>
      <c r="G181" s="244"/>
      <c r="H181" s="146"/>
      <c r="I181" s="251"/>
      <c r="J181" s="29"/>
      <c r="K181" s="245"/>
    </row>
    <row r="182" spans="1:98" ht="13.5" customHeight="1">
      <c r="A182" s="233"/>
      <c r="B182" s="234"/>
      <c r="C182" s="234"/>
      <c r="D182" s="36" t="s">
        <v>484</v>
      </c>
      <c r="E182" s="234"/>
      <c r="F182" s="37"/>
      <c r="G182" s="235"/>
      <c r="H182" s="235"/>
      <c r="I182" s="236"/>
      <c r="J182" s="98"/>
      <c r="K182" s="129"/>
      <c r="L182" s="98"/>
      <c r="M182" s="98"/>
      <c r="N182" s="98"/>
      <c r="O182" s="98"/>
      <c r="P182" s="98"/>
      <c r="Q182" s="249"/>
      <c r="R182" s="98"/>
      <c r="S182" s="98"/>
      <c r="T182" s="98"/>
      <c r="U182" s="98"/>
      <c r="V182" s="246"/>
      <c r="W182" s="95"/>
      <c r="X182" s="95"/>
      <c r="Y182" s="95"/>
      <c r="Z182" s="95"/>
      <c r="AA182" s="95"/>
      <c r="AB182" s="95"/>
      <c r="AC182" s="95"/>
      <c r="AD182" s="95"/>
      <c r="AE182" s="95"/>
      <c r="AF182" s="95"/>
      <c r="AG182" s="95"/>
      <c r="AH182" s="95"/>
      <c r="AI182" s="95"/>
      <c r="AJ182" s="95"/>
      <c r="AK182" s="95"/>
      <c r="AL182" s="95"/>
      <c r="AM182" s="95"/>
      <c r="AN182" s="95"/>
      <c r="AO182" s="95"/>
      <c r="AP182" s="95"/>
      <c r="AQ182" s="95"/>
    </row>
    <row r="183" spans="1:98" ht="13.5" customHeight="1">
      <c r="A183" s="233"/>
      <c r="B183" s="234"/>
      <c r="C183" s="234"/>
      <c r="D183" s="36" t="s">
        <v>495</v>
      </c>
      <c r="E183" s="234"/>
      <c r="F183" s="37"/>
      <c r="G183" s="235"/>
      <c r="H183" s="235"/>
      <c r="I183" s="236"/>
      <c r="J183" s="248"/>
      <c r="K183" s="129"/>
      <c r="L183" s="98"/>
      <c r="M183" s="98"/>
      <c r="N183" s="98"/>
      <c r="O183" s="98"/>
      <c r="P183" s="98"/>
      <c r="Q183" s="249"/>
      <c r="R183" s="98"/>
      <c r="S183" s="98"/>
      <c r="T183" s="98"/>
      <c r="U183" s="98"/>
      <c r="V183" s="246"/>
      <c r="W183" s="95"/>
      <c r="X183" s="95"/>
      <c r="Y183" s="95"/>
      <c r="Z183" s="95"/>
      <c r="AA183" s="95"/>
      <c r="AB183" s="95"/>
      <c r="AC183" s="95"/>
      <c r="AD183" s="95"/>
      <c r="AE183" s="95"/>
      <c r="AF183" s="95"/>
      <c r="AG183" s="95"/>
      <c r="AH183" s="95"/>
      <c r="AI183" s="95"/>
      <c r="AJ183" s="95"/>
      <c r="AK183" s="95"/>
      <c r="AL183" s="95"/>
      <c r="AM183" s="95"/>
      <c r="AN183" s="95"/>
      <c r="AO183" s="95"/>
      <c r="AP183" s="95"/>
      <c r="AQ183" s="95"/>
    </row>
    <row r="184" spans="1:98" s="241" customFormat="1" ht="13.5" customHeight="1">
      <c r="A184" s="145">
        <v>36</v>
      </c>
      <c r="B184" s="39" t="s">
        <v>480</v>
      </c>
      <c r="C184" s="10" t="s">
        <v>487</v>
      </c>
      <c r="D184" s="10" t="s">
        <v>488</v>
      </c>
      <c r="E184" s="10" t="s">
        <v>32</v>
      </c>
      <c r="F184" s="96">
        <f>SUM(F186:F187)</f>
        <v>10</v>
      </c>
      <c r="G184" s="461"/>
      <c r="H184" s="146">
        <f>F184*G184</f>
        <v>0</v>
      </c>
      <c r="I184" s="97" t="s">
        <v>306</v>
      </c>
      <c r="J184" s="129"/>
      <c r="K184" s="129"/>
      <c r="L184" s="129"/>
      <c r="M184" s="129"/>
      <c r="N184" s="129"/>
      <c r="O184" s="129"/>
      <c r="P184" s="252"/>
      <c r="Q184" s="95"/>
      <c r="R184" s="95"/>
      <c r="S184" s="95"/>
      <c r="T184" s="95"/>
      <c r="U184" s="95"/>
      <c r="V184" s="95"/>
      <c r="W184" s="95"/>
      <c r="X184" s="95"/>
      <c r="Y184" s="95"/>
      <c r="Z184" s="95"/>
      <c r="AA184" s="95"/>
      <c r="AB184" s="95"/>
      <c r="AC184" s="95"/>
      <c r="AD184" s="95"/>
      <c r="AE184" s="95"/>
      <c r="AF184" s="95"/>
      <c r="AG184" s="95"/>
      <c r="AH184" s="95"/>
      <c r="AI184" s="95"/>
      <c r="AJ184" s="95"/>
      <c r="AK184" s="95"/>
      <c r="AL184" s="95"/>
      <c r="AM184" s="95"/>
      <c r="AN184" s="95"/>
      <c r="AO184" s="95"/>
      <c r="AP184" s="95"/>
      <c r="AQ184" s="95"/>
      <c r="AR184" s="95"/>
      <c r="AS184" s="95"/>
      <c r="AT184" s="95"/>
      <c r="AU184" s="95"/>
      <c r="AV184" s="95"/>
      <c r="AW184" s="95"/>
      <c r="AX184" s="95"/>
      <c r="AY184" s="95"/>
      <c r="AZ184" s="95"/>
      <c r="BA184" s="95"/>
      <c r="BB184" s="95"/>
      <c r="BC184" s="95"/>
      <c r="BD184" s="95"/>
      <c r="BE184" s="95"/>
      <c r="BF184" s="95"/>
      <c r="BG184" s="95"/>
      <c r="BH184" s="95"/>
      <c r="BI184" s="95"/>
      <c r="BJ184" s="95"/>
    </row>
    <row r="185" spans="1:98" s="241" customFormat="1" ht="13.5" customHeight="1">
      <c r="A185" s="145"/>
      <c r="B185" s="39"/>
      <c r="C185" s="10"/>
      <c r="D185" s="253" t="s">
        <v>489</v>
      </c>
      <c r="E185" s="10"/>
      <c r="F185" s="95"/>
      <c r="G185" s="146"/>
      <c r="H185" s="146"/>
      <c r="I185" s="97"/>
      <c r="J185" s="95"/>
      <c r="K185" s="95"/>
      <c r="L185" s="95"/>
      <c r="M185" s="95"/>
      <c r="N185" s="95"/>
      <c r="O185" s="95"/>
      <c r="P185" s="252"/>
      <c r="Q185" s="95"/>
      <c r="R185" s="95"/>
      <c r="S185" s="95"/>
      <c r="T185" s="95"/>
      <c r="U185" s="95"/>
      <c r="V185" s="95"/>
      <c r="W185" s="95"/>
      <c r="X185" s="95"/>
      <c r="Y185" s="95"/>
      <c r="Z185" s="95"/>
      <c r="AA185" s="95"/>
      <c r="AB185" s="95"/>
      <c r="AC185" s="95"/>
      <c r="AD185" s="95"/>
      <c r="AE185" s="95"/>
      <c r="AF185" s="95"/>
      <c r="AG185" s="95"/>
      <c r="AH185" s="95"/>
      <c r="AI185" s="95"/>
      <c r="AJ185" s="95"/>
      <c r="AK185" s="95"/>
      <c r="AL185" s="95"/>
      <c r="AM185" s="95"/>
      <c r="AN185" s="95"/>
      <c r="AO185" s="95"/>
      <c r="AP185" s="95"/>
      <c r="AQ185" s="95"/>
      <c r="AR185" s="95"/>
      <c r="AS185" s="95"/>
      <c r="AT185" s="95"/>
      <c r="AU185" s="95"/>
      <c r="AV185" s="95"/>
      <c r="AW185" s="95"/>
      <c r="AX185" s="95"/>
      <c r="AY185" s="95"/>
      <c r="AZ185" s="95"/>
      <c r="BA185" s="95"/>
      <c r="BB185" s="95"/>
      <c r="BC185" s="95"/>
      <c r="BD185" s="95"/>
      <c r="BE185" s="95"/>
      <c r="BF185" s="95"/>
      <c r="BG185" s="95"/>
      <c r="BH185" s="95"/>
      <c r="BI185" s="95"/>
      <c r="BJ185" s="95"/>
    </row>
    <row r="186" spans="1:98" s="241" customFormat="1" ht="13.5" customHeight="1">
      <c r="A186" s="86"/>
      <c r="B186" s="87"/>
      <c r="C186" s="87"/>
      <c r="D186" s="254" t="s">
        <v>497</v>
      </c>
      <c r="E186" s="87"/>
      <c r="F186" s="37">
        <f>(5)</f>
        <v>5</v>
      </c>
      <c r="G186" s="255"/>
      <c r="H186" s="255"/>
      <c r="I186" s="137"/>
      <c r="J186" s="132"/>
      <c r="K186" s="95"/>
      <c r="L186" s="95"/>
      <c r="M186" s="95"/>
      <c r="N186" s="95"/>
      <c r="O186" s="95"/>
      <c r="P186" s="95"/>
      <c r="Q186" s="95"/>
      <c r="R186" s="95"/>
      <c r="S186" s="95"/>
      <c r="T186" s="95"/>
      <c r="U186" s="95"/>
      <c r="V186" s="95"/>
      <c r="W186" s="95"/>
      <c r="X186" s="95"/>
      <c r="Y186" s="95"/>
      <c r="Z186" s="95"/>
      <c r="AA186" s="95"/>
      <c r="AB186" s="95"/>
      <c r="AC186" s="95"/>
      <c r="AD186" s="95"/>
      <c r="AE186" s="95"/>
      <c r="AF186" s="95"/>
      <c r="AG186" s="95"/>
      <c r="AH186" s="95"/>
      <c r="AI186" s="95"/>
      <c r="AJ186" s="95"/>
      <c r="AK186" s="95"/>
      <c r="AL186" s="95"/>
      <c r="AM186" s="95"/>
      <c r="AN186" s="95"/>
      <c r="AO186" s="95"/>
      <c r="AP186" s="95"/>
      <c r="AQ186" s="95"/>
      <c r="AR186" s="95"/>
      <c r="AS186" s="95"/>
      <c r="AT186" s="95"/>
      <c r="AU186" s="95"/>
      <c r="AV186" s="95"/>
      <c r="AW186" s="95"/>
      <c r="AX186" s="95"/>
      <c r="AY186" s="95"/>
      <c r="AZ186" s="95"/>
      <c r="BA186" s="95"/>
      <c r="BB186" s="95"/>
      <c r="BC186" s="95"/>
      <c r="BD186" s="95"/>
      <c r="BE186" s="95"/>
      <c r="BF186" s="95"/>
      <c r="BG186" s="95"/>
      <c r="BH186" s="95"/>
      <c r="BI186" s="95"/>
      <c r="BJ186" s="95"/>
    </row>
    <row r="187" spans="1:98" s="241" customFormat="1" ht="13.5" customHeight="1">
      <c r="A187" s="86"/>
      <c r="B187" s="87"/>
      <c r="C187" s="87"/>
      <c r="D187" s="254" t="s">
        <v>498</v>
      </c>
      <c r="E187" s="87"/>
      <c r="F187" s="37">
        <f>(5)</f>
        <v>5</v>
      </c>
      <c r="G187" s="255"/>
      <c r="H187" s="255"/>
      <c r="I187" s="137"/>
      <c r="J187" s="256"/>
      <c r="K187" s="95"/>
      <c r="L187" s="95"/>
      <c r="M187" s="95"/>
      <c r="N187" s="95"/>
      <c r="O187" s="95"/>
      <c r="P187" s="95"/>
      <c r="Q187" s="95"/>
      <c r="R187" s="95"/>
      <c r="S187" s="95"/>
      <c r="T187" s="95"/>
      <c r="U187" s="95"/>
      <c r="V187" s="95"/>
      <c r="W187" s="95"/>
      <c r="X187" s="95"/>
      <c r="Y187" s="95"/>
      <c r="Z187" s="95"/>
      <c r="AA187" s="95"/>
      <c r="AB187" s="95"/>
      <c r="AC187" s="95"/>
      <c r="AD187" s="95"/>
      <c r="AE187" s="95"/>
      <c r="AF187" s="95"/>
      <c r="AG187" s="95"/>
      <c r="AH187" s="95"/>
      <c r="AI187" s="95"/>
      <c r="AJ187" s="95"/>
      <c r="AK187" s="95"/>
      <c r="AL187" s="95"/>
      <c r="AM187" s="95"/>
      <c r="AN187" s="95"/>
      <c r="AO187" s="95"/>
      <c r="AP187" s="95"/>
      <c r="AQ187" s="95"/>
      <c r="AR187" s="95"/>
      <c r="AS187" s="95"/>
      <c r="AT187" s="95"/>
      <c r="AU187" s="95"/>
      <c r="AV187" s="95"/>
      <c r="AW187" s="95"/>
      <c r="AX187" s="95"/>
      <c r="AY187" s="95"/>
      <c r="AZ187" s="95"/>
      <c r="BA187" s="95"/>
      <c r="BB187" s="95"/>
      <c r="BC187" s="95"/>
      <c r="BD187" s="95"/>
      <c r="BE187" s="95"/>
      <c r="BF187" s="95"/>
      <c r="BG187" s="95"/>
      <c r="BH187" s="95"/>
      <c r="BI187" s="95"/>
      <c r="BJ187" s="95"/>
    </row>
    <row r="188" spans="1:98" s="95" customFormat="1" ht="13.5" customHeight="1">
      <c r="A188" s="145">
        <v>37</v>
      </c>
      <c r="B188" s="257" t="s">
        <v>480</v>
      </c>
      <c r="C188" s="10">
        <v>998751201</v>
      </c>
      <c r="D188" s="10" t="s">
        <v>490</v>
      </c>
      <c r="E188" s="10" t="s">
        <v>49</v>
      </c>
      <c r="F188" s="96">
        <v>0.52</v>
      </c>
      <c r="G188" s="461"/>
      <c r="H188" s="146">
        <f>F188*G188</f>
        <v>0</v>
      </c>
      <c r="I188" s="97" t="s">
        <v>254</v>
      </c>
      <c r="J188" s="258"/>
    </row>
    <row r="189" spans="1:98" s="111" customFormat="1" ht="13.5" customHeight="1">
      <c r="A189" s="259">
        <v>38</v>
      </c>
      <c r="B189" s="257" t="s">
        <v>45</v>
      </c>
      <c r="C189" s="102" t="s">
        <v>491</v>
      </c>
      <c r="D189" s="102" t="s">
        <v>492</v>
      </c>
      <c r="E189" s="102" t="s">
        <v>31</v>
      </c>
      <c r="F189" s="260">
        <f>F190</f>
        <v>1</v>
      </c>
      <c r="G189" s="461"/>
      <c r="H189" s="146">
        <f>F189*G189</f>
        <v>0</v>
      </c>
      <c r="I189" s="113" t="s">
        <v>254</v>
      </c>
    </row>
    <row r="190" spans="1:98" s="111" customFormat="1" ht="13.5" customHeight="1">
      <c r="A190" s="259"/>
      <c r="B190" s="102"/>
      <c r="C190" s="102"/>
      <c r="D190" s="261" t="s">
        <v>493</v>
      </c>
      <c r="E190" s="102"/>
      <c r="F190" s="262">
        <v>1</v>
      </c>
      <c r="G190" s="146"/>
      <c r="H190" s="146"/>
      <c r="I190" s="263"/>
    </row>
    <row r="191" spans="1:98" s="241" customFormat="1" ht="27" customHeight="1">
      <c r="A191" s="259"/>
      <c r="B191" s="102"/>
      <c r="C191" s="102"/>
      <c r="D191" s="261" t="s">
        <v>71</v>
      </c>
      <c r="E191" s="102"/>
      <c r="F191" s="260"/>
      <c r="G191" s="146"/>
      <c r="H191" s="146"/>
      <c r="I191" s="263"/>
      <c r="J191" s="252"/>
      <c r="K191" s="95"/>
      <c r="L191" s="95"/>
      <c r="M191" s="95"/>
      <c r="N191" s="95"/>
      <c r="O191" s="95"/>
      <c r="P191" s="95"/>
      <c r="Q191" s="95"/>
      <c r="R191" s="95"/>
      <c r="S191" s="95"/>
      <c r="T191" s="95"/>
      <c r="U191" s="95"/>
      <c r="V191" s="95"/>
      <c r="W191" s="95"/>
      <c r="X191" s="95"/>
      <c r="Y191" s="95"/>
      <c r="Z191" s="95"/>
      <c r="AA191" s="95"/>
      <c r="AB191" s="95"/>
      <c r="AC191" s="95"/>
      <c r="AD191" s="95"/>
      <c r="AE191" s="95"/>
      <c r="AF191" s="95"/>
      <c r="AG191" s="95"/>
      <c r="AH191" s="95"/>
      <c r="AI191" s="95"/>
      <c r="AJ191" s="95"/>
      <c r="AK191" s="95"/>
      <c r="AL191" s="95"/>
      <c r="AM191" s="95"/>
      <c r="AN191" s="95"/>
      <c r="AO191" s="95"/>
      <c r="AP191" s="95"/>
      <c r="AQ191" s="95"/>
      <c r="AR191" s="95"/>
      <c r="AS191" s="95"/>
      <c r="AT191" s="95"/>
      <c r="AU191" s="95"/>
      <c r="AV191" s="95"/>
      <c r="AW191" s="95"/>
      <c r="AX191" s="95"/>
      <c r="AY191" s="95"/>
      <c r="AZ191" s="95"/>
      <c r="BA191" s="95"/>
      <c r="BB191" s="95"/>
      <c r="BC191" s="95"/>
      <c r="BD191" s="95"/>
      <c r="BE191" s="95"/>
      <c r="BF191" s="95"/>
      <c r="BG191" s="95"/>
      <c r="BH191" s="95"/>
      <c r="BI191" s="95"/>
      <c r="BJ191" s="95"/>
      <c r="BK191" s="95"/>
      <c r="BL191" s="95"/>
      <c r="BM191" s="95"/>
      <c r="BN191" s="95"/>
      <c r="BO191" s="95"/>
      <c r="BP191" s="95"/>
      <c r="BQ191" s="95"/>
      <c r="BR191" s="95"/>
      <c r="BS191" s="95"/>
      <c r="BT191" s="95"/>
      <c r="BU191" s="95"/>
      <c r="BV191" s="95"/>
      <c r="BW191" s="95"/>
      <c r="BX191" s="95"/>
      <c r="BY191" s="95"/>
      <c r="BZ191" s="95"/>
      <c r="CA191" s="95"/>
      <c r="CB191" s="95"/>
      <c r="CC191" s="95"/>
      <c r="CD191" s="95"/>
      <c r="CE191" s="95"/>
      <c r="CF191" s="95"/>
      <c r="CG191" s="95"/>
      <c r="CH191" s="95"/>
      <c r="CI191" s="95"/>
      <c r="CJ191" s="95"/>
      <c r="CK191" s="95"/>
      <c r="CL191" s="95"/>
      <c r="CM191" s="95"/>
      <c r="CN191" s="95"/>
      <c r="CO191" s="95"/>
      <c r="CP191" s="95"/>
      <c r="CQ191" s="95"/>
      <c r="CR191" s="95"/>
      <c r="CS191" s="95"/>
      <c r="CT191" s="95"/>
    </row>
    <row r="192" spans="1:98" s="95" customFormat="1" ht="13.5" customHeight="1">
      <c r="A192" s="130"/>
      <c r="B192" s="87"/>
      <c r="C192" s="87" t="s">
        <v>35</v>
      </c>
      <c r="D192" s="87" t="s">
        <v>27</v>
      </c>
      <c r="E192" s="87"/>
      <c r="F192" s="174"/>
      <c r="G192" s="90"/>
      <c r="H192" s="90">
        <f>SUM(H193:H280)</f>
        <v>0</v>
      </c>
      <c r="I192" s="38"/>
      <c r="J192" s="143"/>
    </row>
    <row r="193" spans="1:18" s="180" customFormat="1" ht="13.5" customHeight="1">
      <c r="A193" s="175">
        <v>39</v>
      </c>
      <c r="B193" s="176" t="s">
        <v>35</v>
      </c>
      <c r="C193" s="177" t="s">
        <v>139</v>
      </c>
      <c r="D193" s="104" t="s">
        <v>149</v>
      </c>
      <c r="E193" s="104" t="s">
        <v>20</v>
      </c>
      <c r="F193" s="178">
        <f>SUM(F195:F195)</f>
        <v>8.4420000000000019</v>
      </c>
      <c r="G193" s="463"/>
      <c r="H193" s="107">
        <f>F193*G193</f>
        <v>0</v>
      </c>
      <c r="I193" s="113" t="s">
        <v>262</v>
      </c>
      <c r="J193" s="264"/>
      <c r="K193" s="265"/>
    </row>
    <row r="194" spans="1:18" ht="27" customHeight="1">
      <c r="A194" s="42"/>
      <c r="B194" s="35"/>
      <c r="C194" s="35"/>
      <c r="D194" s="36" t="s">
        <v>324</v>
      </c>
      <c r="E194" s="35"/>
      <c r="F194" s="37"/>
      <c r="G194" s="47"/>
      <c r="H194" s="48"/>
      <c r="I194" s="38"/>
      <c r="J194" s="264"/>
      <c r="K194" s="266"/>
    </row>
    <row r="195" spans="1:18" s="29" customFormat="1" ht="13.5" customHeight="1">
      <c r="A195" s="267"/>
      <c r="B195" s="268"/>
      <c r="C195" s="268"/>
      <c r="D195" s="36" t="s">
        <v>322</v>
      </c>
      <c r="E195" s="268"/>
      <c r="F195" s="37">
        <f>(12*(0.2*3.35))*1.05</f>
        <v>8.4420000000000019</v>
      </c>
      <c r="G195" s="269"/>
      <c r="H195" s="269"/>
      <c r="I195" s="270"/>
      <c r="J195" s="264"/>
      <c r="K195" s="266"/>
      <c r="L195" s="74"/>
      <c r="M195" s="74"/>
    </row>
    <row r="196" spans="1:18" ht="40.5" customHeight="1">
      <c r="A196" s="42"/>
      <c r="B196" s="39"/>
      <c r="C196" s="10"/>
      <c r="D196" s="36" t="s">
        <v>51</v>
      </c>
      <c r="E196" s="10"/>
      <c r="F196" s="40"/>
      <c r="G196" s="48"/>
      <c r="H196" s="48"/>
      <c r="I196" s="51"/>
    </row>
    <row r="197" spans="1:18" s="180" customFormat="1" ht="13.5" customHeight="1">
      <c r="A197" s="175">
        <v>40</v>
      </c>
      <c r="B197" s="176" t="s">
        <v>35</v>
      </c>
      <c r="C197" s="177" t="s">
        <v>229</v>
      </c>
      <c r="D197" s="104" t="s">
        <v>230</v>
      </c>
      <c r="E197" s="104" t="s">
        <v>20</v>
      </c>
      <c r="F197" s="178">
        <f>SUM(F199:F199)</f>
        <v>2.1105000000000005</v>
      </c>
      <c r="G197" s="463"/>
      <c r="H197" s="107">
        <f>F197*G197</f>
        <v>0</v>
      </c>
      <c r="I197" s="113" t="s">
        <v>262</v>
      </c>
      <c r="J197" s="179"/>
    </row>
    <row r="198" spans="1:18" ht="27" customHeight="1">
      <c r="A198" s="42"/>
      <c r="B198" s="35"/>
      <c r="C198" s="35"/>
      <c r="D198" s="36" t="s">
        <v>140</v>
      </c>
      <c r="E198" s="35"/>
      <c r="F198" s="37"/>
      <c r="G198" s="47"/>
      <c r="H198" s="48"/>
      <c r="I198" s="38"/>
      <c r="J198" s="271"/>
      <c r="K198" s="109"/>
    </row>
    <row r="199" spans="1:18" s="29" customFormat="1" ht="27" customHeight="1">
      <c r="A199" s="267"/>
      <c r="B199" s="268"/>
      <c r="C199" s="268"/>
      <c r="D199" s="36" t="s">
        <v>328</v>
      </c>
      <c r="E199" s="268"/>
      <c r="F199" s="37">
        <f>(3*(0.2*3.35))*1.05</f>
        <v>2.1105000000000005</v>
      </c>
      <c r="G199" s="269"/>
      <c r="H199" s="269"/>
      <c r="I199" s="270"/>
    </row>
    <row r="200" spans="1:18" ht="40.5" customHeight="1">
      <c r="A200" s="42"/>
      <c r="B200" s="39"/>
      <c r="C200" s="10"/>
      <c r="D200" s="36" t="s">
        <v>51</v>
      </c>
      <c r="E200" s="10"/>
      <c r="F200" s="40"/>
      <c r="G200" s="48"/>
      <c r="H200" s="48"/>
      <c r="I200" s="51"/>
    </row>
    <row r="201" spans="1:18" s="180" customFormat="1" ht="13.5" customHeight="1">
      <c r="A201" s="175">
        <v>41</v>
      </c>
      <c r="B201" s="176" t="s">
        <v>35</v>
      </c>
      <c r="C201" s="177">
        <v>763111464</v>
      </c>
      <c r="D201" s="104" t="s">
        <v>186</v>
      </c>
      <c r="E201" s="104" t="s">
        <v>20</v>
      </c>
      <c r="F201" s="178">
        <f>SUM(F203:F203)</f>
        <v>4.2</v>
      </c>
      <c r="G201" s="463"/>
      <c r="H201" s="107">
        <f>F201*G201</f>
        <v>0</v>
      </c>
      <c r="I201" s="113" t="s">
        <v>254</v>
      </c>
      <c r="J201" s="179"/>
    </row>
    <row r="202" spans="1:18" ht="13.5" customHeight="1">
      <c r="A202" s="42"/>
      <c r="B202" s="35"/>
      <c r="C202" s="35"/>
      <c r="D202" s="36" t="s">
        <v>325</v>
      </c>
      <c r="E202" s="35"/>
      <c r="F202" s="37"/>
      <c r="G202" s="47"/>
      <c r="H202" s="48"/>
      <c r="I202" s="38"/>
      <c r="J202" s="109"/>
      <c r="K202" s="109"/>
    </row>
    <row r="203" spans="1:18" s="29" customFormat="1" ht="13.5" customHeight="1">
      <c r="A203" s="267"/>
      <c r="B203" s="268"/>
      <c r="C203" s="268"/>
      <c r="D203" s="36" t="s">
        <v>185</v>
      </c>
      <c r="E203" s="268"/>
      <c r="F203" s="37">
        <f>(4)*1.05</f>
        <v>4.2</v>
      </c>
      <c r="G203" s="269"/>
      <c r="H203" s="269"/>
      <c r="I203" s="270"/>
    </row>
    <row r="204" spans="1:18" ht="40.5" customHeight="1">
      <c r="A204" s="42"/>
      <c r="B204" s="39"/>
      <c r="C204" s="10"/>
      <c r="D204" s="36" t="s">
        <v>51</v>
      </c>
      <c r="E204" s="10"/>
      <c r="F204" s="40"/>
      <c r="G204" s="48"/>
      <c r="H204" s="48"/>
      <c r="I204" s="52"/>
      <c r="J204" s="29"/>
      <c r="K204" s="29"/>
      <c r="L204" s="29"/>
      <c r="M204" s="29"/>
      <c r="N204" s="29"/>
      <c r="O204" s="29"/>
      <c r="P204" s="29"/>
      <c r="Q204" s="29"/>
      <c r="R204" s="29"/>
    </row>
    <row r="205" spans="1:18" ht="27" customHeight="1">
      <c r="A205" s="42"/>
      <c r="B205" s="39"/>
      <c r="C205" s="10"/>
      <c r="D205" s="36" t="s">
        <v>228</v>
      </c>
      <c r="E205" s="10"/>
      <c r="F205" s="40"/>
      <c r="G205" s="48"/>
      <c r="H205" s="48"/>
      <c r="I205" s="38"/>
    </row>
    <row r="206" spans="1:18" s="180" customFormat="1" ht="13.5" customHeight="1">
      <c r="A206" s="175">
        <v>42</v>
      </c>
      <c r="B206" s="176" t="s">
        <v>35</v>
      </c>
      <c r="C206" s="177">
        <v>763111466</v>
      </c>
      <c r="D206" s="104" t="s">
        <v>150</v>
      </c>
      <c r="E206" s="104" t="s">
        <v>20</v>
      </c>
      <c r="F206" s="178">
        <f>SUM(F208:F208)</f>
        <v>429.24525</v>
      </c>
      <c r="G206" s="463"/>
      <c r="H206" s="107">
        <f>F206*G206</f>
        <v>0</v>
      </c>
      <c r="I206" s="113" t="s">
        <v>254</v>
      </c>
      <c r="J206" s="179"/>
    </row>
    <row r="207" spans="1:18" ht="27" customHeight="1">
      <c r="A207" s="42"/>
      <c r="B207" s="35"/>
      <c r="C207" s="35"/>
      <c r="D207" s="36" t="s">
        <v>323</v>
      </c>
      <c r="E207" s="35"/>
      <c r="F207" s="37"/>
      <c r="G207" s="47"/>
      <c r="H207" s="48"/>
      <c r="I207" s="38"/>
      <c r="J207" s="109"/>
      <c r="K207" s="109"/>
    </row>
    <row r="208" spans="1:18" s="29" customFormat="1" ht="13.5" customHeight="1">
      <c r="A208" s="267"/>
      <c r="B208" s="268"/>
      <c r="C208" s="268"/>
      <c r="D208" s="36" t="s">
        <v>326</v>
      </c>
      <c r="E208" s="268"/>
      <c r="F208" s="37">
        <f>(408.805)*1.05</f>
        <v>429.24525</v>
      </c>
      <c r="G208" s="269"/>
      <c r="H208" s="269"/>
      <c r="I208" s="270"/>
    </row>
    <row r="209" spans="1:21" ht="40.5" customHeight="1">
      <c r="A209" s="42"/>
      <c r="B209" s="39"/>
      <c r="C209" s="10"/>
      <c r="D209" s="36" t="s">
        <v>51</v>
      </c>
      <c r="E209" s="10"/>
      <c r="F209" s="40"/>
      <c r="G209" s="48"/>
      <c r="H209" s="48"/>
      <c r="I209" s="38"/>
      <c r="J209" s="29"/>
      <c r="K209" s="29"/>
      <c r="L209" s="29"/>
      <c r="M209" s="29"/>
      <c r="N209" s="29"/>
      <c r="O209" s="29"/>
      <c r="P209" s="29"/>
      <c r="Q209" s="29"/>
      <c r="R209" s="29"/>
    </row>
    <row r="210" spans="1:21" ht="40.5" customHeight="1">
      <c r="A210" s="42"/>
      <c r="B210" s="39"/>
      <c r="C210" s="10"/>
      <c r="D210" s="36" t="s">
        <v>327</v>
      </c>
      <c r="E210" s="10"/>
      <c r="F210" s="40"/>
      <c r="G210" s="48"/>
      <c r="H210" s="48"/>
      <c r="I210" s="38"/>
    </row>
    <row r="211" spans="1:21" s="180" customFormat="1" ht="13.5" customHeight="1">
      <c r="A211" s="175">
        <v>43</v>
      </c>
      <c r="B211" s="176" t="s">
        <v>35</v>
      </c>
      <c r="C211" s="177">
        <v>763111713</v>
      </c>
      <c r="D211" s="104" t="s">
        <v>117</v>
      </c>
      <c r="E211" s="104" t="s">
        <v>32</v>
      </c>
      <c r="F211" s="178">
        <f>SUM(F212:F213)</f>
        <v>10.65</v>
      </c>
      <c r="G211" s="463"/>
      <c r="H211" s="107">
        <f>F211*G211</f>
        <v>0</v>
      </c>
      <c r="I211" s="113" t="s">
        <v>254</v>
      </c>
      <c r="J211" s="179"/>
    </row>
    <row r="212" spans="1:21" ht="13.5" customHeight="1">
      <c r="A212" s="42"/>
      <c r="B212" s="10"/>
      <c r="C212" s="10"/>
      <c r="D212" s="34" t="s">
        <v>337</v>
      </c>
      <c r="E212" s="10"/>
      <c r="F212" s="37">
        <f>(3.25)*3</f>
        <v>9.75</v>
      </c>
      <c r="G212" s="48"/>
      <c r="H212" s="48"/>
      <c r="I212" s="97"/>
      <c r="J212" s="126"/>
    </row>
    <row r="213" spans="1:21" ht="13.5" customHeight="1">
      <c r="A213" s="42"/>
      <c r="B213" s="10"/>
      <c r="C213" s="10"/>
      <c r="D213" s="34" t="s">
        <v>193</v>
      </c>
      <c r="E213" s="10"/>
      <c r="F213" s="37">
        <f>0.9</f>
        <v>0.9</v>
      </c>
      <c r="G213" s="48"/>
      <c r="H213" s="48"/>
      <c r="I213" s="97"/>
      <c r="J213" s="126"/>
    </row>
    <row r="214" spans="1:21" s="180" customFormat="1" ht="13.5" customHeight="1">
      <c r="A214" s="175">
        <v>44</v>
      </c>
      <c r="B214" s="176" t="s">
        <v>35</v>
      </c>
      <c r="C214" s="177">
        <v>763111714</v>
      </c>
      <c r="D214" s="104" t="s">
        <v>147</v>
      </c>
      <c r="E214" s="104" t="s">
        <v>32</v>
      </c>
      <c r="F214" s="178">
        <f>SUM(F215)</f>
        <v>18.350000000000001</v>
      </c>
      <c r="G214" s="463"/>
      <c r="H214" s="107">
        <f>F214*G214</f>
        <v>0</v>
      </c>
      <c r="I214" s="113" t="s">
        <v>254</v>
      </c>
      <c r="J214" s="179"/>
    </row>
    <row r="215" spans="1:21" ht="13.5" customHeight="1">
      <c r="A215" s="42"/>
      <c r="B215" s="10"/>
      <c r="C215" s="10"/>
      <c r="D215" s="34" t="s">
        <v>194</v>
      </c>
      <c r="E215" s="10"/>
      <c r="F215" s="37">
        <f>(5)*3.25+(2)*1.05</f>
        <v>18.350000000000001</v>
      </c>
      <c r="G215" s="48"/>
      <c r="H215" s="48"/>
      <c r="I215" s="97"/>
      <c r="J215" s="126"/>
    </row>
    <row r="216" spans="1:21" s="180" customFormat="1" ht="13.5" customHeight="1">
      <c r="A216" s="175">
        <v>45</v>
      </c>
      <c r="B216" s="176" t="s">
        <v>35</v>
      </c>
      <c r="C216" s="177">
        <v>763111717</v>
      </c>
      <c r="D216" s="104" t="s">
        <v>78</v>
      </c>
      <c r="E216" s="104" t="s">
        <v>20</v>
      </c>
      <c r="F216" s="178">
        <f>SUM(F217:F218)</f>
        <v>424.18625000000003</v>
      </c>
      <c r="G216" s="463"/>
      <c r="H216" s="107">
        <f>F216*G216</f>
        <v>0</v>
      </c>
      <c r="I216" s="113" t="s">
        <v>254</v>
      </c>
      <c r="J216" s="179"/>
    </row>
    <row r="217" spans="1:21" ht="13.5" customHeight="1">
      <c r="A217" s="42"/>
      <c r="B217" s="10"/>
      <c r="C217" s="10"/>
      <c r="D217" s="34" t="s">
        <v>329</v>
      </c>
      <c r="E217" s="10"/>
      <c r="F217" s="37">
        <f>(8.04+2.01)+(4+408.805)</f>
        <v>422.85500000000002</v>
      </c>
      <c r="G217" s="48"/>
      <c r="H217" s="48"/>
      <c r="I217" s="97"/>
      <c r="J217" s="246"/>
    </row>
    <row r="218" spans="1:21" ht="13.5" customHeight="1">
      <c r="A218" s="42"/>
      <c r="B218" s="10"/>
      <c r="C218" s="10"/>
      <c r="D218" s="34" t="s">
        <v>338</v>
      </c>
      <c r="E218" s="10"/>
      <c r="F218" s="37">
        <f>((3.25)*3+0.9)*0.125</f>
        <v>1.33125</v>
      </c>
      <c r="G218" s="48"/>
      <c r="H218" s="48"/>
      <c r="I218" s="97"/>
      <c r="J218" s="126"/>
    </row>
    <row r="219" spans="1:21" s="180" customFormat="1" ht="13.5" customHeight="1">
      <c r="A219" s="175">
        <v>46</v>
      </c>
      <c r="B219" s="176" t="s">
        <v>35</v>
      </c>
      <c r="C219" s="177">
        <v>763111722</v>
      </c>
      <c r="D219" s="104" t="s">
        <v>116</v>
      </c>
      <c r="E219" s="104" t="s">
        <v>32</v>
      </c>
      <c r="F219" s="178">
        <f>SUM(F220:F220)</f>
        <v>73.814999999999998</v>
      </c>
      <c r="G219" s="463"/>
      <c r="H219" s="107">
        <f>F219*G219</f>
        <v>0</v>
      </c>
      <c r="I219" s="113" t="s">
        <v>254</v>
      </c>
      <c r="J219" s="179"/>
    </row>
    <row r="220" spans="1:21" ht="13.5" customHeight="1">
      <c r="A220" s="42"/>
      <c r="B220" s="10"/>
      <c r="C220" s="10"/>
      <c r="D220" s="34" t="s">
        <v>355</v>
      </c>
      <c r="E220" s="10"/>
      <c r="F220" s="37">
        <f>((12+8)*3.25+(2.2*2+0.9*1))*1.05</f>
        <v>73.814999999999998</v>
      </c>
      <c r="G220" s="48"/>
      <c r="H220" s="48"/>
      <c r="I220" s="97"/>
      <c r="J220" s="272"/>
    </row>
    <row r="221" spans="1:21" s="180" customFormat="1" ht="27" customHeight="1">
      <c r="A221" s="175">
        <v>47</v>
      </c>
      <c r="B221" s="176" t="s">
        <v>35</v>
      </c>
      <c r="C221" s="177" t="s">
        <v>533</v>
      </c>
      <c r="D221" s="104" t="s">
        <v>534</v>
      </c>
      <c r="E221" s="104" t="s">
        <v>23</v>
      </c>
      <c r="F221" s="178">
        <f>SUM(F223)</f>
        <v>1</v>
      </c>
      <c r="G221" s="463"/>
      <c r="H221" s="107">
        <f>F221*G221</f>
        <v>0</v>
      </c>
      <c r="I221" s="113" t="s">
        <v>262</v>
      </c>
      <c r="J221" s="265"/>
      <c r="K221" s="273"/>
      <c r="N221" s="273"/>
    </row>
    <row r="222" spans="1:21" s="277" customFormat="1" ht="27" customHeight="1">
      <c r="A222" s="191"/>
      <c r="B222" s="10"/>
      <c r="C222" s="10"/>
      <c r="D222" s="34" t="s">
        <v>541</v>
      </c>
      <c r="E222" s="10"/>
      <c r="F222" s="37"/>
      <c r="G222" s="48"/>
      <c r="H222" s="48"/>
      <c r="I222" s="97"/>
      <c r="J222" s="274"/>
      <c r="K222" s="274"/>
      <c r="L222" s="275"/>
      <c r="M222" s="276"/>
      <c r="N222" s="276"/>
      <c r="O222" s="276"/>
      <c r="P222" s="276"/>
      <c r="Q222" s="276"/>
      <c r="R222" s="276"/>
      <c r="S222" s="276"/>
      <c r="T222" s="276"/>
      <c r="U222" s="276"/>
    </row>
    <row r="223" spans="1:21" s="277" customFormat="1" ht="13.5" customHeight="1">
      <c r="A223" s="191"/>
      <c r="B223" s="10"/>
      <c r="C223" s="10"/>
      <c r="D223" s="34" t="s">
        <v>535</v>
      </c>
      <c r="E223" s="10"/>
      <c r="F223" s="37">
        <v>1</v>
      </c>
      <c r="G223" s="48"/>
      <c r="H223" s="48"/>
      <c r="I223" s="97"/>
      <c r="J223" s="278"/>
      <c r="K223" s="274"/>
      <c r="L223" s="275"/>
      <c r="M223" s="276"/>
      <c r="N223" s="276"/>
      <c r="O223" s="276"/>
      <c r="P223" s="276"/>
      <c r="Q223" s="276"/>
      <c r="R223" s="276"/>
      <c r="S223" s="276"/>
      <c r="T223" s="276"/>
      <c r="U223" s="276"/>
    </row>
    <row r="224" spans="1:21" s="277" customFormat="1" ht="27" customHeight="1">
      <c r="A224" s="191"/>
      <c r="B224" s="10"/>
      <c r="C224" s="10"/>
      <c r="D224" s="34" t="s">
        <v>536</v>
      </c>
      <c r="E224" s="10"/>
      <c r="F224" s="37"/>
      <c r="G224" s="48"/>
      <c r="H224" s="48"/>
      <c r="I224" s="97"/>
      <c r="K224" s="274"/>
      <c r="L224" s="275"/>
      <c r="M224" s="276"/>
      <c r="N224" s="276"/>
      <c r="O224" s="276"/>
      <c r="P224" s="276"/>
      <c r="Q224" s="276"/>
      <c r="R224" s="276"/>
      <c r="S224" s="276"/>
      <c r="T224" s="276"/>
      <c r="U224" s="276"/>
    </row>
    <row r="225" spans="1:21" s="277" customFormat="1" ht="27" customHeight="1">
      <c r="A225" s="191"/>
      <c r="B225" s="10"/>
      <c r="C225" s="10"/>
      <c r="D225" s="34" t="s">
        <v>537</v>
      </c>
      <c r="E225" s="10"/>
      <c r="F225" s="37"/>
      <c r="G225" s="48"/>
      <c r="H225" s="48"/>
      <c r="I225" s="97"/>
      <c r="J225" s="279"/>
      <c r="K225" s="274"/>
      <c r="L225" s="275"/>
      <c r="M225" s="276"/>
      <c r="N225" s="276"/>
      <c r="O225" s="276"/>
      <c r="P225" s="276"/>
      <c r="Q225" s="276"/>
      <c r="R225" s="276"/>
      <c r="S225" s="276"/>
      <c r="T225" s="276"/>
      <c r="U225" s="276"/>
    </row>
    <row r="226" spans="1:21" s="180" customFormat="1" ht="27" customHeight="1">
      <c r="A226" s="175">
        <v>48</v>
      </c>
      <c r="B226" s="176" t="s">
        <v>35</v>
      </c>
      <c r="C226" s="177" t="s">
        <v>538</v>
      </c>
      <c r="D226" s="104" t="s">
        <v>539</v>
      </c>
      <c r="E226" s="104" t="s">
        <v>23</v>
      </c>
      <c r="F226" s="178">
        <f>SUM(F228)</f>
        <v>1</v>
      </c>
      <c r="G226" s="463"/>
      <c r="H226" s="107">
        <f>F226*G226</f>
        <v>0</v>
      </c>
      <c r="I226" s="113" t="s">
        <v>262</v>
      </c>
      <c r="J226" s="265"/>
      <c r="K226" s="273"/>
      <c r="N226" s="273"/>
    </row>
    <row r="227" spans="1:21" s="277" customFormat="1" ht="13.5" customHeight="1">
      <c r="A227" s="191"/>
      <c r="B227" s="10"/>
      <c r="C227" s="10"/>
      <c r="D227" s="34" t="s">
        <v>540</v>
      </c>
      <c r="E227" s="10"/>
      <c r="F227" s="37"/>
      <c r="G227" s="48"/>
      <c r="H227" s="48"/>
      <c r="I227" s="97"/>
      <c r="J227" s="274"/>
      <c r="K227" s="274"/>
      <c r="L227" s="275"/>
      <c r="M227" s="276"/>
      <c r="N227" s="276"/>
      <c r="O227" s="276"/>
      <c r="P227" s="276"/>
      <c r="Q227" s="276"/>
      <c r="R227" s="276"/>
      <c r="S227" s="276"/>
      <c r="T227" s="276"/>
      <c r="U227" s="276"/>
    </row>
    <row r="228" spans="1:21" s="277" customFormat="1" ht="13.5" customHeight="1">
      <c r="A228" s="191"/>
      <c r="B228" s="10"/>
      <c r="C228" s="10"/>
      <c r="D228" s="34" t="s">
        <v>542</v>
      </c>
      <c r="E228" s="10"/>
      <c r="F228" s="37">
        <v>1</v>
      </c>
      <c r="G228" s="48"/>
      <c r="H228" s="48"/>
      <c r="I228" s="97"/>
      <c r="J228" s="278"/>
      <c r="K228" s="274"/>
      <c r="L228" s="275"/>
      <c r="M228" s="276"/>
      <c r="N228" s="276"/>
      <c r="O228" s="276"/>
      <c r="P228" s="276"/>
      <c r="Q228" s="276"/>
      <c r="R228" s="276"/>
      <c r="S228" s="276"/>
      <c r="T228" s="276"/>
      <c r="U228" s="276"/>
    </row>
    <row r="229" spans="1:21" s="277" customFormat="1" ht="27" customHeight="1">
      <c r="A229" s="191"/>
      <c r="B229" s="10"/>
      <c r="C229" s="10"/>
      <c r="D229" s="34" t="s">
        <v>536</v>
      </c>
      <c r="E229" s="10"/>
      <c r="F229" s="37"/>
      <c r="G229" s="48"/>
      <c r="H229" s="48"/>
      <c r="I229" s="97"/>
      <c r="K229" s="274"/>
      <c r="L229" s="275"/>
      <c r="M229" s="276"/>
      <c r="N229" s="276"/>
      <c r="O229" s="276"/>
      <c r="P229" s="276"/>
      <c r="Q229" s="276"/>
      <c r="R229" s="276"/>
      <c r="S229" s="276"/>
      <c r="T229" s="276"/>
      <c r="U229" s="276"/>
    </row>
    <row r="230" spans="1:21" s="277" customFormat="1" ht="27" customHeight="1">
      <c r="A230" s="191"/>
      <c r="B230" s="10"/>
      <c r="C230" s="10"/>
      <c r="D230" s="34" t="s">
        <v>543</v>
      </c>
      <c r="E230" s="10"/>
      <c r="F230" s="37"/>
      <c r="G230" s="48"/>
      <c r="H230" s="48"/>
      <c r="I230" s="97"/>
      <c r="J230" s="279"/>
      <c r="K230" s="274"/>
      <c r="L230" s="275"/>
      <c r="M230" s="276"/>
      <c r="N230" s="276"/>
      <c r="O230" s="276"/>
      <c r="P230" s="276"/>
      <c r="Q230" s="276"/>
      <c r="R230" s="276"/>
      <c r="S230" s="276"/>
      <c r="T230" s="276"/>
      <c r="U230" s="276"/>
    </row>
    <row r="231" spans="1:21" s="180" customFormat="1" ht="27" customHeight="1">
      <c r="A231" s="175">
        <v>49</v>
      </c>
      <c r="B231" s="176" t="s">
        <v>35</v>
      </c>
      <c r="C231" s="177" t="s">
        <v>544</v>
      </c>
      <c r="D231" s="104" t="s">
        <v>545</v>
      </c>
      <c r="E231" s="104" t="s">
        <v>23</v>
      </c>
      <c r="F231" s="178">
        <f>SUM(F233)</f>
        <v>1</v>
      </c>
      <c r="G231" s="463"/>
      <c r="H231" s="107">
        <f>F231*G231</f>
        <v>0</v>
      </c>
      <c r="I231" s="113" t="s">
        <v>262</v>
      </c>
      <c r="J231" s="265"/>
      <c r="K231" s="273"/>
      <c r="N231" s="273"/>
    </row>
    <row r="232" spans="1:21" s="277" customFormat="1" ht="13.5" customHeight="1">
      <c r="A232" s="191"/>
      <c r="B232" s="10"/>
      <c r="C232" s="10"/>
      <c r="D232" s="34" t="s">
        <v>546</v>
      </c>
      <c r="E232" s="10"/>
      <c r="F232" s="37"/>
      <c r="G232" s="48"/>
      <c r="H232" s="48"/>
      <c r="I232" s="97"/>
      <c r="J232" s="274"/>
      <c r="K232" s="274"/>
      <c r="L232" s="275"/>
      <c r="M232" s="276"/>
      <c r="N232" s="276"/>
      <c r="O232" s="276"/>
      <c r="P232" s="276"/>
      <c r="Q232" s="276"/>
      <c r="R232" s="276"/>
      <c r="S232" s="276"/>
      <c r="T232" s="276"/>
      <c r="U232" s="276"/>
    </row>
    <row r="233" spans="1:21" s="277" customFormat="1" ht="13.5" customHeight="1">
      <c r="A233" s="191"/>
      <c r="B233" s="10"/>
      <c r="C233" s="10"/>
      <c r="D233" s="34" t="s">
        <v>542</v>
      </c>
      <c r="E233" s="10"/>
      <c r="F233" s="37">
        <v>1</v>
      </c>
      <c r="G233" s="48"/>
      <c r="H233" s="48"/>
      <c r="I233" s="97"/>
      <c r="J233" s="278"/>
      <c r="K233" s="274"/>
      <c r="L233" s="275"/>
      <c r="M233" s="276"/>
      <c r="N233" s="276"/>
      <c r="O233" s="276"/>
      <c r="P233" s="276"/>
      <c r="Q233" s="276"/>
      <c r="R233" s="276"/>
      <c r="S233" s="276"/>
      <c r="T233" s="276"/>
      <c r="U233" s="276"/>
    </row>
    <row r="234" spans="1:21" s="277" customFormat="1" ht="27" customHeight="1">
      <c r="A234" s="191"/>
      <c r="B234" s="10"/>
      <c r="C234" s="10"/>
      <c r="D234" s="34" t="s">
        <v>536</v>
      </c>
      <c r="E234" s="10"/>
      <c r="F234" s="37"/>
      <c r="G234" s="48"/>
      <c r="H234" s="48"/>
      <c r="I234" s="97"/>
      <c r="K234" s="274"/>
      <c r="L234" s="275"/>
      <c r="M234" s="276"/>
      <c r="N234" s="276"/>
      <c r="O234" s="276"/>
      <c r="P234" s="276"/>
      <c r="Q234" s="276"/>
      <c r="R234" s="276"/>
      <c r="S234" s="276"/>
      <c r="T234" s="276"/>
      <c r="U234" s="276"/>
    </row>
    <row r="235" spans="1:21" s="180" customFormat="1" ht="13.5" customHeight="1">
      <c r="A235" s="175">
        <v>50</v>
      </c>
      <c r="B235" s="176" t="s">
        <v>35</v>
      </c>
      <c r="C235" s="177">
        <v>763121465</v>
      </c>
      <c r="D235" s="104" t="s">
        <v>98</v>
      </c>
      <c r="E235" s="104" t="s">
        <v>20</v>
      </c>
      <c r="F235" s="178">
        <f>SUM(F237:F237)</f>
        <v>29.017800000000001</v>
      </c>
      <c r="G235" s="463"/>
      <c r="H235" s="107">
        <f>F235*G235</f>
        <v>0</v>
      </c>
      <c r="I235" s="113" t="s">
        <v>254</v>
      </c>
      <c r="J235" s="179"/>
    </row>
    <row r="236" spans="1:21" ht="13.5" customHeight="1">
      <c r="A236" s="42"/>
      <c r="B236" s="35"/>
      <c r="C236" s="35"/>
      <c r="D236" s="36" t="s">
        <v>330</v>
      </c>
      <c r="E236" s="35"/>
      <c r="F236" s="37"/>
      <c r="G236" s="47"/>
      <c r="H236" s="48"/>
      <c r="I236" s="38"/>
    </row>
    <row r="237" spans="1:21" ht="13.5" customHeight="1">
      <c r="A237" s="42"/>
      <c r="B237" s="10"/>
      <c r="C237" s="10"/>
      <c r="D237" s="36" t="s">
        <v>331</v>
      </c>
      <c r="E237" s="10"/>
      <c r="F237" s="37">
        <f>(27.636)*1.05</f>
        <v>29.017800000000001</v>
      </c>
      <c r="G237" s="48"/>
      <c r="H237" s="48"/>
      <c r="I237" s="97"/>
      <c r="J237" s="280"/>
      <c r="K237" s="281"/>
      <c r="L237" s="282"/>
      <c r="M237" s="111"/>
      <c r="N237" s="283"/>
      <c r="O237" s="284"/>
      <c r="P237" s="95"/>
      <c r="Q237" s="95"/>
      <c r="R237" s="285"/>
    </row>
    <row r="238" spans="1:21" ht="40.5" customHeight="1">
      <c r="A238" s="42"/>
      <c r="B238" s="39"/>
      <c r="C238" s="10"/>
      <c r="D238" s="36" t="s">
        <v>51</v>
      </c>
      <c r="E238" s="10"/>
      <c r="F238" s="74"/>
      <c r="G238" s="48"/>
      <c r="H238" s="48"/>
      <c r="I238" s="38"/>
      <c r="J238" s="286"/>
    </row>
    <row r="239" spans="1:21" s="180" customFormat="1" ht="13.5" customHeight="1">
      <c r="A239" s="175">
        <v>51</v>
      </c>
      <c r="B239" s="176" t="s">
        <v>35</v>
      </c>
      <c r="C239" s="177">
        <v>763121712</v>
      </c>
      <c r="D239" s="104" t="s">
        <v>339</v>
      </c>
      <c r="E239" s="104" t="s">
        <v>32</v>
      </c>
      <c r="F239" s="178">
        <f>SUM(F240:F240)</f>
        <v>19.5</v>
      </c>
      <c r="G239" s="463"/>
      <c r="H239" s="107">
        <f>F239*G239</f>
        <v>0</v>
      </c>
      <c r="I239" s="113" t="s">
        <v>254</v>
      </c>
      <c r="J239" s="179"/>
    </row>
    <row r="240" spans="1:21" ht="13.5" customHeight="1">
      <c r="A240" s="42"/>
      <c r="B240" s="10"/>
      <c r="C240" s="10"/>
      <c r="D240" s="34" t="s">
        <v>356</v>
      </c>
      <c r="E240" s="10"/>
      <c r="F240" s="37">
        <f>(6)*3.25</f>
        <v>19.5</v>
      </c>
      <c r="G240" s="48"/>
      <c r="H240" s="48"/>
      <c r="I240" s="97"/>
      <c r="J240" s="126"/>
    </row>
    <row r="241" spans="1:38" s="180" customFormat="1" ht="13.5" customHeight="1">
      <c r="A241" s="175">
        <v>52</v>
      </c>
      <c r="B241" s="176" t="s">
        <v>35</v>
      </c>
      <c r="C241" s="177">
        <v>763121714</v>
      </c>
      <c r="D241" s="104" t="s">
        <v>52</v>
      </c>
      <c r="E241" s="104" t="s">
        <v>20</v>
      </c>
      <c r="F241" s="178">
        <f>SUM(F242)</f>
        <v>27.635999999999999</v>
      </c>
      <c r="G241" s="463"/>
      <c r="H241" s="107">
        <f>F241*G241</f>
        <v>0</v>
      </c>
      <c r="I241" s="113" t="s">
        <v>254</v>
      </c>
      <c r="J241" s="179"/>
    </row>
    <row r="242" spans="1:38" ht="13.5" customHeight="1">
      <c r="A242" s="42"/>
      <c r="B242" s="10"/>
      <c r="C242" s="10"/>
      <c r="D242" s="36" t="s">
        <v>332</v>
      </c>
      <c r="E242" s="10"/>
      <c r="F242" s="37">
        <f>(27.636)</f>
        <v>27.635999999999999</v>
      </c>
      <c r="G242" s="48"/>
      <c r="H242" s="48"/>
      <c r="I242" s="97"/>
      <c r="J242" s="280"/>
      <c r="K242" s="281"/>
      <c r="L242" s="282"/>
      <c r="M242" s="111"/>
      <c r="N242" s="283"/>
      <c r="O242" s="284"/>
      <c r="P242" s="95"/>
      <c r="Q242" s="95"/>
      <c r="R242" s="285"/>
    </row>
    <row r="243" spans="1:38" s="180" customFormat="1" ht="13.5" customHeight="1">
      <c r="A243" s="175">
        <v>53</v>
      </c>
      <c r="B243" s="176" t="s">
        <v>35</v>
      </c>
      <c r="C243" s="177">
        <v>763131415</v>
      </c>
      <c r="D243" s="104" t="s">
        <v>115</v>
      </c>
      <c r="E243" s="104" t="s">
        <v>20</v>
      </c>
      <c r="F243" s="178">
        <f>SUM(F245:F246)</f>
        <v>51.756600000000006</v>
      </c>
      <c r="G243" s="463"/>
      <c r="H243" s="107">
        <f>F243*G243</f>
        <v>0</v>
      </c>
      <c r="I243" s="113" t="s">
        <v>254</v>
      </c>
      <c r="J243" s="179"/>
    </row>
    <row r="244" spans="1:38" s="95" customFormat="1" ht="13.5" customHeight="1">
      <c r="A244" s="42"/>
      <c r="B244" s="39"/>
      <c r="C244" s="10"/>
      <c r="D244" s="36" t="s">
        <v>187</v>
      </c>
      <c r="E244" s="10"/>
      <c r="F244" s="96"/>
      <c r="G244" s="48"/>
      <c r="H244" s="48"/>
      <c r="I244" s="97"/>
      <c r="J244" s="74"/>
      <c r="K244" s="74"/>
      <c r="L244" s="74"/>
      <c r="M244" s="74"/>
      <c r="N244" s="74"/>
      <c r="O244" s="74"/>
      <c r="P244" s="74"/>
      <c r="Q244" s="74"/>
      <c r="R244" s="74"/>
      <c r="S244" s="74"/>
      <c r="T244" s="74"/>
      <c r="U244" s="74"/>
      <c r="V244" s="74"/>
      <c r="W244" s="74"/>
      <c r="X244" s="74"/>
      <c r="Y244" s="74"/>
      <c r="Z244" s="74"/>
      <c r="AA244" s="74"/>
      <c r="AB244" s="74"/>
      <c r="AC244" s="74"/>
      <c r="AD244" s="74"/>
      <c r="AE244" s="74"/>
      <c r="AF244" s="74"/>
      <c r="AG244" s="74"/>
      <c r="AH244" s="74"/>
      <c r="AI244" s="74"/>
      <c r="AJ244" s="74"/>
      <c r="AK244" s="74"/>
      <c r="AL244" s="74"/>
    </row>
    <row r="245" spans="1:38" ht="27" customHeight="1">
      <c r="A245" s="42"/>
      <c r="B245" s="39"/>
      <c r="C245" s="10"/>
      <c r="D245" s="36" t="s">
        <v>308</v>
      </c>
      <c r="E245" s="10"/>
      <c r="F245" s="37">
        <f>((6.645+6.615*2+4.45+3.265*3+3.25*6+3.24+1.1)*0.45)*1.05</f>
        <v>27.386100000000003</v>
      </c>
      <c r="G245" s="48"/>
      <c r="H245" s="48"/>
      <c r="I245" s="38"/>
      <c r="J245" s="287"/>
      <c r="K245" s="111"/>
      <c r="L245" s="111"/>
      <c r="M245" s="111"/>
      <c r="N245" s="111"/>
      <c r="O245" s="111"/>
      <c r="P245" s="111"/>
      <c r="Q245" s="288"/>
      <c r="R245" s="111"/>
      <c r="S245" s="111"/>
      <c r="T245" s="111"/>
      <c r="U245" s="111"/>
      <c r="V245" s="111"/>
      <c r="W245" s="111"/>
      <c r="X245" s="111"/>
      <c r="Y245" s="111"/>
      <c r="Z245" s="111"/>
      <c r="AA245" s="111"/>
      <c r="AB245" s="111"/>
      <c r="AC245" s="111"/>
      <c r="AD245" s="111"/>
      <c r="AE245" s="111"/>
      <c r="AF245" s="111"/>
      <c r="AG245" s="111"/>
      <c r="AH245" s="111"/>
      <c r="AI245" s="111"/>
      <c r="AJ245" s="111"/>
      <c r="AK245" s="111"/>
      <c r="AL245" s="111"/>
    </row>
    <row r="246" spans="1:38" s="111" customFormat="1" ht="13.5" customHeight="1">
      <c r="A246" s="42"/>
      <c r="B246" s="39"/>
      <c r="C246" s="33"/>
      <c r="D246" s="34" t="s">
        <v>307</v>
      </c>
      <c r="E246" s="11"/>
      <c r="F246" s="37">
        <f>(13.97+9.24)*1.05</f>
        <v>24.370500000000003</v>
      </c>
      <c r="G246" s="289"/>
      <c r="H246" s="48"/>
      <c r="I246" s="97"/>
      <c r="J246" s="290"/>
      <c r="K246" s="74"/>
      <c r="L246" s="74"/>
      <c r="M246" s="74"/>
      <c r="N246" s="74"/>
      <c r="O246" s="74"/>
      <c r="P246" s="74"/>
      <c r="Q246" s="74"/>
      <c r="R246" s="74"/>
      <c r="S246" s="74"/>
      <c r="T246" s="74"/>
      <c r="U246" s="74"/>
      <c r="V246" s="74"/>
      <c r="W246" s="74"/>
      <c r="X246" s="74"/>
      <c r="Y246" s="74"/>
      <c r="Z246" s="74"/>
      <c r="AA246" s="74"/>
      <c r="AB246" s="74"/>
      <c r="AC246" s="74"/>
      <c r="AD246" s="74"/>
      <c r="AE246" s="74"/>
      <c r="AF246" s="74"/>
      <c r="AG246" s="74"/>
      <c r="AH246" s="74"/>
      <c r="AI246" s="74"/>
      <c r="AJ246" s="74"/>
      <c r="AK246" s="74"/>
      <c r="AL246" s="74"/>
    </row>
    <row r="247" spans="1:38" ht="26.25" customHeight="1">
      <c r="A247" s="42"/>
      <c r="B247" s="39"/>
      <c r="C247" s="10"/>
      <c r="D247" s="36" t="s">
        <v>113</v>
      </c>
      <c r="E247" s="10"/>
      <c r="F247" s="40"/>
      <c r="G247" s="48"/>
      <c r="H247" s="48"/>
      <c r="I247" s="38"/>
      <c r="J247" s="279"/>
      <c r="K247" s="95"/>
      <c r="L247" s="95"/>
      <c r="M247" s="95"/>
      <c r="N247" s="95"/>
      <c r="O247" s="95"/>
      <c r="P247" s="95"/>
      <c r="Q247" s="95"/>
      <c r="R247" s="95"/>
      <c r="S247" s="95"/>
      <c r="T247" s="95"/>
      <c r="U247" s="95"/>
      <c r="V247" s="95"/>
      <c r="W247" s="95"/>
      <c r="X247" s="95"/>
      <c r="Y247" s="95"/>
      <c r="Z247" s="95"/>
      <c r="AA247" s="95"/>
      <c r="AB247" s="95"/>
      <c r="AC247" s="95"/>
      <c r="AD247" s="95"/>
      <c r="AE247" s="95"/>
      <c r="AF247" s="95"/>
      <c r="AG247" s="95"/>
      <c r="AH247" s="95"/>
      <c r="AI247" s="95"/>
      <c r="AJ247" s="95"/>
      <c r="AK247" s="95"/>
      <c r="AL247" s="95"/>
    </row>
    <row r="248" spans="1:38" s="180" customFormat="1" ht="13.5" customHeight="1">
      <c r="A248" s="175">
        <v>54</v>
      </c>
      <c r="B248" s="176" t="s">
        <v>35</v>
      </c>
      <c r="C248" s="177">
        <v>763131712</v>
      </c>
      <c r="D248" s="104" t="s">
        <v>195</v>
      </c>
      <c r="E248" s="104" t="s">
        <v>32</v>
      </c>
      <c r="F248" s="178">
        <f>SUM(F250:F250)</f>
        <v>72</v>
      </c>
      <c r="G248" s="463"/>
      <c r="H248" s="107">
        <f>F248*G248</f>
        <v>0</v>
      </c>
      <c r="I248" s="113" t="s">
        <v>254</v>
      </c>
      <c r="J248" s="179"/>
    </row>
    <row r="249" spans="1:38" s="95" customFormat="1" ht="13.5" customHeight="1">
      <c r="A249" s="145"/>
      <c r="B249" s="39"/>
      <c r="C249" s="10"/>
      <c r="D249" s="36" t="s">
        <v>196</v>
      </c>
      <c r="E249" s="10"/>
      <c r="F249" s="96"/>
      <c r="G249" s="146"/>
      <c r="H249" s="146"/>
      <c r="I249" s="97"/>
    </row>
    <row r="250" spans="1:38" s="95" customFormat="1" ht="13.5" customHeight="1">
      <c r="A250" s="86"/>
      <c r="B250" s="87"/>
      <c r="C250" s="87"/>
      <c r="D250" s="36" t="s">
        <v>197</v>
      </c>
      <c r="E250" s="35"/>
      <c r="F250" s="37">
        <f>28.8+43.2</f>
        <v>72</v>
      </c>
      <c r="G250" s="255"/>
      <c r="H250" s="255"/>
      <c r="I250" s="291"/>
      <c r="J250" s="252"/>
    </row>
    <row r="251" spans="1:38" s="180" customFormat="1" ht="13.5" customHeight="1">
      <c r="A251" s="175">
        <v>55</v>
      </c>
      <c r="B251" s="176" t="s">
        <v>35</v>
      </c>
      <c r="C251" s="177">
        <v>763131714</v>
      </c>
      <c r="D251" s="104" t="s">
        <v>54</v>
      </c>
      <c r="E251" s="104" t="s">
        <v>20</v>
      </c>
      <c r="F251" s="178">
        <f>SUM(F252:F253)</f>
        <v>49.292000000000002</v>
      </c>
      <c r="G251" s="463"/>
      <c r="H251" s="107">
        <f>F251*G251</f>
        <v>0</v>
      </c>
      <c r="I251" s="113" t="s">
        <v>254</v>
      </c>
      <c r="J251" s="179"/>
    </row>
    <row r="252" spans="1:38" s="95" customFormat="1" ht="13.5" customHeight="1">
      <c r="A252" s="120"/>
      <c r="B252" s="87"/>
      <c r="C252" s="87"/>
      <c r="D252" s="36" t="s">
        <v>309</v>
      </c>
      <c r="E252" s="35"/>
      <c r="F252" s="37">
        <f>26.082</f>
        <v>26.082000000000001</v>
      </c>
      <c r="G252" s="90"/>
      <c r="H252" s="90"/>
      <c r="I252" s="291"/>
    </row>
    <row r="253" spans="1:38" s="95" customFormat="1" ht="13.5" customHeight="1">
      <c r="A253" s="120"/>
      <c r="B253" s="87"/>
      <c r="C253" s="87"/>
      <c r="D253" s="36" t="s">
        <v>310</v>
      </c>
      <c r="E253" s="35"/>
      <c r="F253" s="37">
        <f>(13.97+9.24)</f>
        <v>23.21</v>
      </c>
      <c r="G253" s="90"/>
      <c r="H253" s="90"/>
      <c r="I253" s="291"/>
    </row>
    <row r="254" spans="1:38" s="95" customFormat="1" ht="13.5" customHeight="1">
      <c r="A254" s="42">
        <v>56</v>
      </c>
      <c r="B254" s="39" t="s">
        <v>35</v>
      </c>
      <c r="C254" s="10">
        <v>763131765</v>
      </c>
      <c r="D254" s="10" t="s">
        <v>353</v>
      </c>
      <c r="E254" s="10" t="s">
        <v>20</v>
      </c>
      <c r="F254" s="96">
        <f>SUM(F255:F255)</f>
        <v>23.21</v>
      </c>
      <c r="G254" s="459"/>
      <c r="H254" s="48">
        <f>F254*G254</f>
        <v>0</v>
      </c>
      <c r="I254" s="113" t="s">
        <v>254</v>
      </c>
    </row>
    <row r="255" spans="1:38" s="95" customFormat="1" ht="13.5" customHeight="1">
      <c r="A255" s="120"/>
      <c r="B255" s="87"/>
      <c r="C255" s="87"/>
      <c r="D255" s="36" t="s">
        <v>354</v>
      </c>
      <c r="E255" s="35"/>
      <c r="F255" s="37">
        <f>(13.97+9.24)</f>
        <v>23.21</v>
      </c>
      <c r="G255" s="90"/>
      <c r="H255" s="90"/>
      <c r="I255" s="291"/>
      <c r="Z255" s="111"/>
      <c r="AA255" s="111"/>
      <c r="AB255" s="111"/>
      <c r="AC255" s="111"/>
      <c r="AD255" s="111"/>
      <c r="AE255" s="111"/>
      <c r="AF255" s="111"/>
      <c r="AG255" s="111"/>
      <c r="AH255" s="111"/>
      <c r="AI255" s="111"/>
      <c r="AJ255" s="111"/>
      <c r="AK255" s="111"/>
      <c r="AL255" s="111"/>
    </row>
    <row r="256" spans="1:38" s="95" customFormat="1" ht="27" customHeight="1">
      <c r="A256" s="42">
        <v>57</v>
      </c>
      <c r="B256" s="39" t="s">
        <v>35</v>
      </c>
      <c r="C256" s="9" t="s">
        <v>53</v>
      </c>
      <c r="D256" s="10" t="s">
        <v>189</v>
      </c>
      <c r="E256" s="11" t="s">
        <v>20</v>
      </c>
      <c r="F256" s="32">
        <f>SUM(F258:F258)</f>
        <v>42.336000000000006</v>
      </c>
      <c r="G256" s="465"/>
      <c r="H256" s="48">
        <f>F256*G256</f>
        <v>0</v>
      </c>
      <c r="I256" s="97" t="s">
        <v>262</v>
      </c>
      <c r="J256" s="292"/>
      <c r="K256" s="281"/>
      <c r="L256" s="293"/>
      <c r="M256" s="111"/>
      <c r="N256" s="294"/>
      <c r="O256" s="295"/>
      <c r="R256" s="296"/>
    </row>
    <row r="257" spans="1:40" s="95" customFormat="1" ht="27" customHeight="1">
      <c r="A257" s="42"/>
      <c r="B257" s="39"/>
      <c r="C257" s="9"/>
      <c r="D257" s="36" t="s">
        <v>191</v>
      </c>
      <c r="E257" s="11"/>
      <c r="G257" s="32"/>
      <c r="H257" s="48"/>
      <c r="I257" s="97"/>
      <c r="J257" s="94"/>
      <c r="Q257" s="126"/>
    </row>
    <row r="258" spans="1:40" s="95" customFormat="1" ht="13.5" customHeight="1">
      <c r="A258" s="42"/>
      <c r="B258" s="39"/>
      <c r="C258" s="9"/>
      <c r="D258" s="36" t="s">
        <v>192</v>
      </c>
      <c r="E258" s="11"/>
      <c r="F258" s="37">
        <f>(24.48+15.84)*1.05</f>
        <v>42.336000000000006</v>
      </c>
      <c r="G258" s="32"/>
      <c r="H258" s="48"/>
      <c r="I258" s="97"/>
      <c r="J258" s="297"/>
      <c r="K258" s="74"/>
      <c r="L258" s="74"/>
      <c r="M258" s="74"/>
      <c r="N258" s="74"/>
      <c r="O258" s="74"/>
      <c r="P258" s="74"/>
      <c r="Q258" s="74"/>
      <c r="R258" s="74"/>
      <c r="S258" s="74"/>
      <c r="T258" s="74"/>
      <c r="U258" s="74"/>
      <c r="V258" s="74"/>
      <c r="W258" s="74"/>
      <c r="Z258" s="74"/>
      <c r="AA258" s="74"/>
      <c r="AB258" s="74"/>
      <c r="AC258" s="74"/>
      <c r="AD258" s="74"/>
      <c r="AE258" s="74"/>
      <c r="AF258" s="74"/>
      <c r="AG258" s="74"/>
      <c r="AH258" s="74"/>
      <c r="AI258" s="74"/>
      <c r="AJ258" s="74"/>
      <c r="AK258" s="74"/>
      <c r="AL258" s="74"/>
    </row>
    <row r="259" spans="1:40" ht="40.5" customHeight="1">
      <c r="A259" s="42"/>
      <c r="B259" s="39"/>
      <c r="C259" s="10"/>
      <c r="D259" s="36" t="s">
        <v>114</v>
      </c>
      <c r="E259" s="10"/>
      <c r="F259" s="40"/>
      <c r="G259" s="48"/>
      <c r="H259" s="48"/>
      <c r="I259" s="38"/>
      <c r="Z259" s="95"/>
      <c r="AA259" s="95"/>
      <c r="AB259" s="95"/>
      <c r="AC259" s="95"/>
      <c r="AD259" s="95"/>
      <c r="AE259" s="95"/>
      <c r="AF259" s="95"/>
      <c r="AG259" s="95"/>
      <c r="AH259" s="95"/>
      <c r="AI259" s="95"/>
      <c r="AJ259" s="95"/>
      <c r="AK259" s="95"/>
      <c r="AL259" s="95"/>
    </row>
    <row r="260" spans="1:40" s="95" customFormat="1" ht="27" customHeight="1">
      <c r="A260" s="42">
        <v>58</v>
      </c>
      <c r="B260" s="39" t="s">
        <v>35</v>
      </c>
      <c r="C260" s="9" t="s">
        <v>190</v>
      </c>
      <c r="D260" s="10" t="s">
        <v>188</v>
      </c>
      <c r="E260" s="11" t="s">
        <v>20</v>
      </c>
      <c r="F260" s="32">
        <f>SUM(F262:F262)</f>
        <v>244.13129999999998</v>
      </c>
      <c r="G260" s="465"/>
      <c r="H260" s="48">
        <f>F260*G260</f>
        <v>0</v>
      </c>
      <c r="I260" s="97" t="s">
        <v>262</v>
      </c>
      <c r="J260" s="292"/>
      <c r="K260" s="281"/>
      <c r="L260" s="293"/>
      <c r="M260" s="111"/>
      <c r="N260" s="294"/>
      <c r="O260" s="295"/>
      <c r="R260" s="296"/>
    </row>
    <row r="261" spans="1:40" s="95" customFormat="1" ht="13.5" customHeight="1">
      <c r="A261" s="42"/>
      <c r="B261" s="39"/>
      <c r="C261" s="9"/>
      <c r="D261" s="36" t="s">
        <v>124</v>
      </c>
      <c r="E261" s="11"/>
      <c r="G261" s="32"/>
      <c r="H261" s="48"/>
      <c r="I261" s="97"/>
      <c r="J261" s="94"/>
      <c r="Q261" s="126"/>
    </row>
    <row r="262" spans="1:40" s="95" customFormat="1" ht="54" customHeight="1">
      <c r="A262" s="42"/>
      <c r="B262" s="39"/>
      <c r="C262" s="9"/>
      <c r="D262" s="36" t="s">
        <v>311</v>
      </c>
      <c r="E262" s="11"/>
      <c r="F262" s="37">
        <f>((5.33+13.032+11.407+13.117+11.474+13.043+23.41+25.936)+(42.349+14.9+13.26)+(17.746+15.005+12.497))*1.05</f>
        <v>244.13129999999998</v>
      </c>
      <c r="G262" s="32"/>
      <c r="H262" s="48"/>
      <c r="I262" s="97"/>
      <c r="J262" s="148"/>
      <c r="O262" s="297"/>
      <c r="Q262" s="126"/>
      <c r="Z262" s="74"/>
      <c r="AA262" s="74"/>
      <c r="AB262" s="74"/>
      <c r="AC262" s="74"/>
      <c r="AD262" s="74"/>
      <c r="AE262" s="74"/>
      <c r="AF262" s="74"/>
      <c r="AG262" s="74"/>
      <c r="AH262" s="74"/>
      <c r="AI262" s="74"/>
      <c r="AJ262" s="74"/>
      <c r="AK262" s="74"/>
      <c r="AL262" s="74"/>
    </row>
    <row r="263" spans="1:40" ht="40.5" customHeight="1">
      <c r="A263" s="42"/>
      <c r="B263" s="39"/>
      <c r="C263" s="10"/>
      <c r="D263" s="36" t="s">
        <v>114</v>
      </c>
      <c r="E263" s="10"/>
      <c r="F263" s="40"/>
      <c r="G263" s="48"/>
      <c r="H263" s="48"/>
      <c r="I263" s="298"/>
      <c r="J263" s="297"/>
      <c r="R263" s="299"/>
      <c r="Z263" s="95"/>
      <c r="AA263" s="95"/>
      <c r="AB263" s="95"/>
      <c r="AC263" s="95"/>
      <c r="AD263" s="95"/>
      <c r="AE263" s="95"/>
      <c r="AF263" s="95"/>
      <c r="AG263" s="95"/>
      <c r="AH263" s="95"/>
      <c r="AI263" s="95"/>
      <c r="AJ263" s="95"/>
      <c r="AK263" s="95"/>
      <c r="AL263" s="95"/>
    </row>
    <row r="264" spans="1:40" ht="13.5" customHeight="1">
      <c r="A264" s="42">
        <v>59</v>
      </c>
      <c r="B264" s="10" t="s">
        <v>35</v>
      </c>
      <c r="C264" s="10">
        <v>763164792</v>
      </c>
      <c r="D264" s="10" t="s">
        <v>99</v>
      </c>
      <c r="E264" s="10" t="s">
        <v>20</v>
      </c>
      <c r="F264" s="32">
        <f>SUM(F265:F265)</f>
        <v>33.520000000000003</v>
      </c>
      <c r="G264" s="459"/>
      <c r="H264" s="48">
        <f>F264*G264</f>
        <v>0</v>
      </c>
      <c r="I264" s="97" t="s">
        <v>254</v>
      </c>
      <c r="J264" s="126"/>
    </row>
    <row r="265" spans="1:40" ht="27" customHeight="1">
      <c r="A265" s="42"/>
      <c r="B265" s="10"/>
      <c r="C265" s="10"/>
      <c r="D265" s="34" t="s">
        <v>333</v>
      </c>
      <c r="E265" s="10"/>
      <c r="F265" s="37">
        <f>33.52</f>
        <v>33.520000000000003</v>
      </c>
      <c r="G265" s="48"/>
      <c r="H265" s="48"/>
      <c r="I265" s="97"/>
      <c r="J265" s="280"/>
      <c r="K265" s="281"/>
      <c r="L265" s="282"/>
      <c r="M265" s="111"/>
      <c r="N265" s="283"/>
      <c r="O265" s="284"/>
      <c r="P265" s="95"/>
      <c r="Q265" s="95"/>
      <c r="R265" s="285"/>
    </row>
    <row r="266" spans="1:40" ht="13.5" customHeight="1">
      <c r="A266" s="42"/>
      <c r="B266" s="10"/>
      <c r="C266" s="10"/>
      <c r="D266" s="34" t="s">
        <v>183</v>
      </c>
      <c r="E266" s="10"/>
      <c r="F266" s="37"/>
      <c r="G266" s="48"/>
      <c r="H266" s="48"/>
      <c r="I266" s="97"/>
      <c r="J266" s="300"/>
      <c r="K266" s="281"/>
      <c r="L266" s="282"/>
      <c r="M266" s="111"/>
      <c r="N266" s="283"/>
      <c r="O266" s="284"/>
      <c r="P266" s="95"/>
      <c r="Q266" s="95"/>
      <c r="R266" s="285"/>
    </row>
    <row r="267" spans="1:40" ht="13.5" customHeight="1">
      <c r="A267" s="42">
        <v>60</v>
      </c>
      <c r="B267" s="301">
        <v>590</v>
      </c>
      <c r="C267" s="301">
        <v>59030021</v>
      </c>
      <c r="D267" s="301" t="s">
        <v>100</v>
      </c>
      <c r="E267" s="301" t="s">
        <v>20</v>
      </c>
      <c r="F267" s="49">
        <f>SUM(F268:F268)</f>
        <v>73.744000000000014</v>
      </c>
      <c r="G267" s="466"/>
      <c r="H267" s="302">
        <f>F267*G267</f>
        <v>0</v>
      </c>
      <c r="I267" s="303" t="s">
        <v>254</v>
      </c>
      <c r="J267" s="126"/>
    </row>
    <row r="268" spans="1:40" ht="27" customHeight="1">
      <c r="A268" s="304"/>
      <c r="B268" s="301"/>
      <c r="C268" s="301"/>
      <c r="D268" s="305" t="s">
        <v>334</v>
      </c>
      <c r="E268" s="301"/>
      <c r="F268" s="306">
        <f>((33.52)*2)*1.1</f>
        <v>73.744000000000014</v>
      </c>
      <c r="G268" s="302"/>
      <c r="H268" s="302"/>
      <c r="I268" s="303"/>
      <c r="J268" s="280"/>
      <c r="K268" s="281"/>
      <c r="L268" s="282"/>
      <c r="M268" s="111"/>
      <c r="N268" s="283"/>
      <c r="O268" s="284"/>
      <c r="P268" s="95"/>
      <c r="Q268" s="95"/>
      <c r="R268" s="285"/>
    </row>
    <row r="269" spans="1:40" ht="13.5" customHeight="1">
      <c r="A269" s="42">
        <v>61</v>
      </c>
      <c r="B269" s="10" t="s">
        <v>35</v>
      </c>
      <c r="C269" s="10" t="s">
        <v>141</v>
      </c>
      <c r="D269" s="10" t="s">
        <v>101</v>
      </c>
      <c r="E269" s="10" t="s">
        <v>20</v>
      </c>
      <c r="F269" s="32">
        <f>SUM(F270:F270)</f>
        <v>33.520000000000003</v>
      </c>
      <c r="G269" s="459"/>
      <c r="H269" s="48">
        <f>F269*G269</f>
        <v>0</v>
      </c>
      <c r="I269" s="97" t="s">
        <v>262</v>
      </c>
      <c r="J269" s="126"/>
      <c r="K269" s="280"/>
      <c r="L269" s="281"/>
      <c r="M269" s="282"/>
      <c r="N269" s="111"/>
      <c r="O269" s="283"/>
      <c r="P269" s="284"/>
    </row>
    <row r="270" spans="1:40" ht="13.5" customHeight="1">
      <c r="A270" s="42"/>
      <c r="B270" s="10"/>
      <c r="C270" s="10"/>
      <c r="D270" s="34" t="s">
        <v>335</v>
      </c>
      <c r="E270" s="10"/>
      <c r="F270" s="37">
        <f>33.52</f>
        <v>33.520000000000003</v>
      </c>
      <c r="G270" s="48"/>
      <c r="H270" s="48"/>
      <c r="I270" s="97"/>
      <c r="J270" s="307"/>
      <c r="K270" s="95"/>
      <c r="L270" s="95"/>
      <c r="M270" s="95"/>
      <c r="N270" s="95"/>
      <c r="O270" s="95"/>
      <c r="P270" s="95"/>
      <c r="Q270" s="95"/>
      <c r="R270" s="95"/>
      <c r="S270" s="95"/>
      <c r="T270" s="95"/>
      <c r="U270" s="95"/>
      <c r="V270" s="95"/>
      <c r="W270" s="95"/>
      <c r="X270" s="95"/>
      <c r="Y270" s="95"/>
      <c r="Z270" s="95"/>
      <c r="AA270" s="95"/>
      <c r="AB270" s="95"/>
      <c r="AC270" s="95"/>
      <c r="AD270" s="95"/>
      <c r="AE270" s="95"/>
      <c r="AF270" s="95"/>
      <c r="AG270" s="95"/>
      <c r="AH270" s="95"/>
      <c r="AI270" s="95"/>
      <c r="AJ270" s="95"/>
      <c r="AK270" s="95"/>
      <c r="AL270" s="95"/>
    </row>
    <row r="271" spans="1:40" s="111" customFormat="1" ht="13.5" customHeight="1">
      <c r="A271" s="191">
        <v>62</v>
      </c>
      <c r="B271" s="39" t="s">
        <v>35</v>
      </c>
      <c r="C271" s="10" t="s">
        <v>476</v>
      </c>
      <c r="D271" s="10" t="s">
        <v>478</v>
      </c>
      <c r="E271" s="10" t="s">
        <v>441</v>
      </c>
      <c r="F271" s="96">
        <f>SUM(F273)</f>
        <v>2</v>
      </c>
      <c r="G271" s="461"/>
      <c r="H271" s="146">
        <f>F271*G271</f>
        <v>0</v>
      </c>
      <c r="I271" s="97" t="s">
        <v>306</v>
      </c>
      <c r="J271" s="308"/>
      <c r="K271" s="98"/>
      <c r="L271" s="98"/>
      <c r="M271" s="98"/>
      <c r="N271" s="98"/>
      <c r="O271" s="98"/>
      <c r="P271" s="309"/>
      <c r="Q271" s="309"/>
      <c r="R271" s="309"/>
      <c r="S271" s="309"/>
      <c r="T271" s="309"/>
      <c r="U271" s="310"/>
      <c r="V271" s="309"/>
      <c r="W271" s="309"/>
      <c r="X271" s="309"/>
      <c r="Y271" s="309"/>
      <c r="Z271" s="309"/>
      <c r="AA271" s="309"/>
      <c r="AB271" s="309"/>
      <c r="AC271" s="309"/>
      <c r="AD271" s="309"/>
      <c r="AE271" s="309"/>
      <c r="AF271" s="309"/>
      <c r="AG271" s="309"/>
      <c r="AH271" s="309"/>
      <c r="AI271" s="309"/>
      <c r="AJ271" s="309"/>
      <c r="AK271" s="309"/>
      <c r="AL271" s="309"/>
      <c r="AM271" s="309"/>
      <c r="AN271" s="309"/>
    </row>
    <row r="272" spans="1:40" s="111" customFormat="1" ht="13.5" customHeight="1">
      <c r="A272" s="311"/>
      <c r="B272" s="312"/>
      <c r="C272" s="312"/>
      <c r="D272" s="36" t="s">
        <v>477</v>
      </c>
      <c r="E272" s="312"/>
      <c r="G272" s="313"/>
      <c r="H272" s="313"/>
      <c r="I272" s="314"/>
      <c r="J272" s="315"/>
      <c r="K272" s="237"/>
      <c r="L272" s="309"/>
      <c r="M272" s="309"/>
      <c r="N272" s="309"/>
      <c r="O272" s="309"/>
      <c r="P272" s="309"/>
      <c r="Q272" s="126"/>
      <c r="R272" s="309"/>
      <c r="S272" s="309"/>
      <c r="T272" s="309"/>
      <c r="U272" s="310"/>
      <c r="V272" s="309"/>
      <c r="W272" s="309"/>
      <c r="X272" s="309"/>
      <c r="Y272" s="309"/>
      <c r="Z272" s="309"/>
      <c r="AA272" s="309"/>
      <c r="AB272" s="309"/>
      <c r="AC272" s="309"/>
      <c r="AD272" s="309"/>
      <c r="AE272" s="309"/>
      <c r="AF272" s="309"/>
      <c r="AG272" s="309"/>
      <c r="AH272" s="309"/>
      <c r="AI272" s="309"/>
      <c r="AJ272" s="309"/>
      <c r="AK272" s="309"/>
      <c r="AL272" s="309"/>
      <c r="AM272" s="309"/>
      <c r="AN272" s="309"/>
    </row>
    <row r="273" spans="1:40" s="111" customFormat="1" ht="13.5" customHeight="1">
      <c r="A273" s="311"/>
      <c r="B273" s="312"/>
      <c r="C273" s="312"/>
      <c r="D273" s="36" t="s">
        <v>479</v>
      </c>
      <c r="E273" s="312"/>
      <c r="F273" s="37">
        <v>2</v>
      </c>
      <c r="G273" s="313"/>
      <c r="H273" s="313"/>
      <c r="I273" s="314"/>
      <c r="J273" s="315"/>
      <c r="K273" s="309"/>
      <c r="L273" s="309"/>
      <c r="M273" s="309"/>
      <c r="N273" s="309"/>
      <c r="O273" s="309"/>
      <c r="P273" s="309"/>
      <c r="Q273" s="309"/>
      <c r="R273" s="309"/>
      <c r="S273" s="309"/>
      <c r="T273" s="309"/>
      <c r="U273" s="310"/>
      <c r="V273" s="309"/>
      <c r="W273" s="309"/>
      <c r="X273" s="309"/>
      <c r="Y273" s="309"/>
      <c r="Z273" s="309"/>
      <c r="AA273" s="309"/>
      <c r="AB273" s="309"/>
      <c r="AC273" s="309"/>
      <c r="AD273" s="309"/>
      <c r="AE273" s="309"/>
      <c r="AF273" s="309"/>
      <c r="AG273" s="309"/>
      <c r="AH273" s="309"/>
      <c r="AI273" s="309"/>
      <c r="AJ273" s="309"/>
      <c r="AK273" s="309"/>
      <c r="AL273" s="309"/>
      <c r="AM273" s="309"/>
      <c r="AN273" s="309"/>
    </row>
    <row r="274" spans="1:40" s="111" customFormat="1" ht="13.5" customHeight="1">
      <c r="A274" s="311"/>
      <c r="B274" s="312"/>
      <c r="C274" s="312"/>
      <c r="D274" s="36" t="s">
        <v>475</v>
      </c>
      <c r="E274" s="312"/>
      <c r="F274" s="37"/>
      <c r="G274" s="313"/>
      <c r="H274" s="313"/>
      <c r="I274" s="314"/>
      <c r="J274" s="316"/>
      <c r="K274" s="309"/>
      <c r="L274" s="309"/>
      <c r="M274" s="309"/>
      <c r="N274" s="309"/>
      <c r="O274" s="309"/>
      <c r="P274" s="309"/>
      <c r="Q274" s="126"/>
      <c r="R274" s="309"/>
      <c r="S274" s="309"/>
      <c r="T274" s="309"/>
      <c r="U274" s="309"/>
      <c r="V274" s="309"/>
      <c r="W274" s="309"/>
      <c r="X274" s="309"/>
      <c r="Y274" s="309"/>
      <c r="Z274" s="309"/>
      <c r="AA274" s="309"/>
      <c r="AB274" s="309"/>
      <c r="AC274" s="309"/>
      <c r="AD274" s="309"/>
      <c r="AE274" s="309"/>
      <c r="AF274" s="309"/>
      <c r="AG274" s="309"/>
      <c r="AH274" s="309"/>
      <c r="AI274" s="309"/>
      <c r="AJ274" s="309"/>
      <c r="AK274" s="309"/>
      <c r="AL274" s="309"/>
      <c r="AM274" s="309"/>
      <c r="AN274" s="309"/>
    </row>
    <row r="275" spans="1:40" s="95" customFormat="1" ht="27" customHeight="1">
      <c r="A275" s="42">
        <v>63</v>
      </c>
      <c r="B275" s="39" t="s">
        <v>35</v>
      </c>
      <c r="C275" s="10">
        <v>763431041</v>
      </c>
      <c r="D275" s="10" t="s">
        <v>125</v>
      </c>
      <c r="E275" s="10" t="s">
        <v>20</v>
      </c>
      <c r="F275" s="96">
        <f>SUM(F276:F276)</f>
        <v>40.32</v>
      </c>
      <c r="G275" s="459"/>
      <c r="H275" s="48">
        <f>F275*G275</f>
        <v>0</v>
      </c>
      <c r="I275" s="113" t="s">
        <v>254</v>
      </c>
    </row>
    <row r="276" spans="1:40" s="95" customFormat="1" ht="13.5" customHeight="1">
      <c r="A276" s="120"/>
      <c r="B276" s="87"/>
      <c r="C276" s="87"/>
      <c r="D276" s="36" t="s">
        <v>336</v>
      </c>
      <c r="E276" s="35"/>
      <c r="F276" s="37">
        <f>(24.48+15.84)</f>
        <v>40.32</v>
      </c>
      <c r="G276" s="90"/>
      <c r="H276" s="90"/>
      <c r="I276" s="291"/>
      <c r="Z276" s="111"/>
      <c r="AA276" s="111"/>
      <c r="AB276" s="111"/>
      <c r="AC276" s="111"/>
      <c r="AD276" s="111"/>
      <c r="AE276" s="111"/>
      <c r="AF276" s="111"/>
      <c r="AG276" s="111"/>
      <c r="AH276" s="111"/>
      <c r="AI276" s="111"/>
      <c r="AJ276" s="111"/>
      <c r="AK276" s="111"/>
      <c r="AL276" s="111"/>
    </row>
    <row r="277" spans="1:40" s="180" customFormat="1" ht="13.5" customHeight="1">
      <c r="A277" s="175">
        <v>64</v>
      </c>
      <c r="B277" s="176">
        <v>763</v>
      </c>
      <c r="C277" s="177">
        <v>998763402</v>
      </c>
      <c r="D277" s="104" t="s">
        <v>184</v>
      </c>
      <c r="E277" s="104" t="s">
        <v>49</v>
      </c>
      <c r="F277" s="178">
        <v>1.52</v>
      </c>
      <c r="G277" s="463"/>
      <c r="H277" s="107">
        <f>F277*G277</f>
        <v>0</v>
      </c>
      <c r="I277" s="113" t="s">
        <v>254</v>
      </c>
      <c r="J277" s="317"/>
    </row>
    <row r="278" spans="1:40" s="95" customFormat="1" ht="13.5" customHeight="1">
      <c r="A278" s="175">
        <v>65</v>
      </c>
      <c r="B278" s="104" t="s">
        <v>45</v>
      </c>
      <c r="C278" s="104" t="s">
        <v>55</v>
      </c>
      <c r="D278" s="104" t="s">
        <v>56</v>
      </c>
      <c r="E278" s="104" t="s">
        <v>31</v>
      </c>
      <c r="F278" s="32">
        <f>F279</f>
        <v>10</v>
      </c>
      <c r="G278" s="463"/>
      <c r="H278" s="107">
        <f>F278*G278</f>
        <v>0</v>
      </c>
      <c r="I278" s="113" t="s">
        <v>254</v>
      </c>
      <c r="J278" s="199"/>
      <c r="R278" s="200"/>
    </row>
    <row r="279" spans="1:40" s="95" customFormat="1" ht="13.5" customHeight="1">
      <c r="A279" s="318"/>
      <c r="B279" s="319"/>
      <c r="C279" s="319"/>
      <c r="D279" s="224" t="s">
        <v>97</v>
      </c>
      <c r="E279" s="319"/>
      <c r="F279" s="116">
        <v>10</v>
      </c>
      <c r="G279" s="320"/>
      <c r="H279" s="107"/>
      <c r="I279" s="218"/>
      <c r="J279" s="199"/>
      <c r="R279" s="200"/>
    </row>
    <row r="280" spans="1:40" s="95" customFormat="1" ht="13.5" customHeight="1">
      <c r="A280" s="318"/>
      <c r="B280" s="319"/>
      <c r="C280" s="319"/>
      <c r="D280" s="224" t="s">
        <v>57</v>
      </c>
      <c r="E280" s="319"/>
      <c r="F280" s="116"/>
      <c r="G280" s="320"/>
      <c r="H280" s="107"/>
      <c r="I280" s="218"/>
      <c r="J280" s="199"/>
      <c r="R280" s="200"/>
    </row>
    <row r="281" spans="1:40" s="95" customFormat="1" ht="13.5" customHeight="1">
      <c r="A281" s="120"/>
      <c r="B281" s="87"/>
      <c r="C281" s="87">
        <v>776</v>
      </c>
      <c r="D281" s="87" t="s">
        <v>61</v>
      </c>
      <c r="E281" s="87"/>
      <c r="F281" s="174"/>
      <c r="G281" s="90"/>
      <c r="H281" s="90">
        <f>SUM(H282:H284,H288:H295,H303:H308,H312:H318,H326:H331,H338:H343,H347:H353,H361:H366,H373:H386,H392:H409,H415:H427)</f>
        <v>0</v>
      </c>
      <c r="I281" s="38"/>
      <c r="J281" s="321"/>
      <c r="K281" s="256"/>
      <c r="M281" s="322"/>
    </row>
    <row r="282" spans="1:40" s="95" customFormat="1" ht="13.5" customHeight="1">
      <c r="A282" s="145">
        <v>66</v>
      </c>
      <c r="B282" s="10" t="s">
        <v>62</v>
      </c>
      <c r="C282" s="10" t="s">
        <v>63</v>
      </c>
      <c r="D282" s="10" t="s">
        <v>283</v>
      </c>
      <c r="E282" s="10" t="s">
        <v>20</v>
      </c>
      <c r="F282" s="96">
        <f>SUM(F288:F290)</f>
        <v>90.37</v>
      </c>
      <c r="G282" s="323">
        <f>SUM(H285:H287)/F282</f>
        <v>0</v>
      </c>
      <c r="H282" s="146">
        <f>F282*G282</f>
        <v>0</v>
      </c>
      <c r="I282" s="97" t="s">
        <v>262</v>
      </c>
      <c r="K282" s="324"/>
      <c r="L282" s="324"/>
    </row>
    <row r="283" spans="1:40" s="95" customFormat="1" ht="13.5" customHeight="1">
      <c r="A283" s="243"/>
      <c r="B283" s="35"/>
      <c r="C283" s="35"/>
      <c r="D283" s="36" t="s">
        <v>58</v>
      </c>
      <c r="E283" s="35"/>
      <c r="F283" s="37"/>
      <c r="G283" s="244"/>
      <c r="H283" s="146"/>
      <c r="I283" s="38"/>
    </row>
    <row r="284" spans="1:40" s="95" customFormat="1" ht="27" customHeight="1">
      <c r="A284" s="325"/>
      <c r="B284" s="35"/>
      <c r="C284" s="35"/>
      <c r="D284" s="36" t="s">
        <v>350</v>
      </c>
      <c r="E284" s="34"/>
      <c r="F284" s="37"/>
      <c r="G284" s="37"/>
      <c r="H284" s="37"/>
      <c r="I284" s="38"/>
      <c r="J284" s="307"/>
      <c r="K284" s="98"/>
      <c r="L284" s="98"/>
      <c r="M284" s="98"/>
      <c r="N284" s="98"/>
    </row>
    <row r="285" spans="1:40" s="95" customFormat="1" ht="13.5" customHeight="1">
      <c r="A285" s="325" t="s">
        <v>508</v>
      </c>
      <c r="B285" s="35"/>
      <c r="C285" s="35"/>
      <c r="D285" s="36" t="s">
        <v>66</v>
      </c>
      <c r="E285" s="34" t="s">
        <v>20</v>
      </c>
      <c r="F285" s="37">
        <f>F282</f>
        <v>90.37</v>
      </c>
      <c r="G285" s="469"/>
      <c r="H285" s="99">
        <f>F285*G285</f>
        <v>0</v>
      </c>
      <c r="I285" s="38"/>
      <c r="J285" s="200"/>
      <c r="L285" s="200"/>
      <c r="W285" s="326"/>
    </row>
    <row r="286" spans="1:40" s="95" customFormat="1" ht="13.5" customHeight="1">
      <c r="A286" s="325" t="s">
        <v>509</v>
      </c>
      <c r="B286" s="35"/>
      <c r="C286" s="327"/>
      <c r="D286" s="36" t="s">
        <v>118</v>
      </c>
      <c r="E286" s="34" t="s">
        <v>20</v>
      </c>
      <c r="F286" s="37">
        <v>99.45</v>
      </c>
      <c r="G286" s="469"/>
      <c r="H286" s="99">
        <f>F286*G286</f>
        <v>0</v>
      </c>
      <c r="I286" s="38"/>
      <c r="J286" s="278"/>
      <c r="U286" s="200"/>
      <c r="W286" s="200"/>
      <c r="AH286" s="326"/>
    </row>
    <row r="287" spans="1:40" s="95" customFormat="1" ht="27" customHeight="1">
      <c r="A287" s="325" t="s">
        <v>510</v>
      </c>
      <c r="B287" s="35"/>
      <c r="C287" s="327"/>
      <c r="D287" s="36" t="s">
        <v>351</v>
      </c>
      <c r="E287" s="34" t="s">
        <v>20</v>
      </c>
      <c r="F287" s="37">
        <v>99.45</v>
      </c>
      <c r="G287" s="469"/>
      <c r="H287" s="99">
        <f>F287*G287</f>
        <v>0</v>
      </c>
      <c r="I287" s="38"/>
      <c r="J287" s="326"/>
      <c r="K287" s="98"/>
      <c r="L287" s="326"/>
      <c r="M287" s="98"/>
      <c r="N287" s="98"/>
      <c r="O287" s="98"/>
      <c r="P287" s="98"/>
      <c r="Q287" s="98"/>
      <c r="R287" s="98"/>
      <c r="S287" s="98"/>
      <c r="T287" s="98"/>
      <c r="U287" s="98"/>
      <c r="W287" s="326"/>
    </row>
    <row r="288" spans="1:40" s="111" customFormat="1" ht="13.5" customHeight="1">
      <c r="A288" s="145"/>
      <c r="B288" s="39"/>
      <c r="C288" s="10"/>
      <c r="D288" s="36" t="s">
        <v>263</v>
      </c>
      <c r="E288" s="10"/>
      <c r="F288" s="37">
        <f>(38.81+17.43+9.76+25.08)</f>
        <v>91.08</v>
      </c>
      <c r="G288" s="146"/>
      <c r="H288" s="146"/>
      <c r="I288" s="97"/>
      <c r="U288" s="95"/>
    </row>
    <row r="289" spans="1:34" s="111" customFormat="1" ht="13.5" customHeight="1">
      <c r="A289" s="145"/>
      <c r="B289" s="39"/>
      <c r="C289" s="10"/>
      <c r="D289" s="36" t="s">
        <v>349</v>
      </c>
      <c r="E289" s="10"/>
      <c r="F289" s="37">
        <f>1.2</f>
        <v>1.2</v>
      </c>
      <c r="G289" s="146"/>
      <c r="H289" s="146"/>
      <c r="I289" s="97"/>
      <c r="U289" s="95"/>
    </row>
    <row r="290" spans="1:34" s="111" customFormat="1" ht="27" customHeight="1">
      <c r="A290" s="145"/>
      <c r="B290" s="39"/>
      <c r="C290" s="10"/>
      <c r="D290" s="36" t="s">
        <v>264</v>
      </c>
      <c r="E290" s="10"/>
      <c r="F290" s="37">
        <f>-(1.38+0.53)</f>
        <v>-1.91</v>
      </c>
      <c r="G290" s="146"/>
      <c r="H290" s="146"/>
      <c r="I290" s="97"/>
      <c r="U290" s="95"/>
    </row>
    <row r="291" spans="1:34" s="334" customFormat="1" ht="27" customHeight="1">
      <c r="A291" s="328"/>
      <c r="B291" s="329"/>
      <c r="C291" s="36"/>
      <c r="D291" s="36" t="s">
        <v>119</v>
      </c>
      <c r="E291" s="34"/>
      <c r="F291" s="37"/>
      <c r="G291" s="330"/>
      <c r="H291" s="330"/>
      <c r="I291" s="331"/>
      <c r="J291" s="332"/>
      <c r="K291" s="332"/>
      <c r="L291" s="333"/>
      <c r="M291" s="332"/>
      <c r="N291" s="332"/>
      <c r="O291" s="332"/>
      <c r="P291" s="332"/>
      <c r="Q291" s="332"/>
      <c r="R291" s="332"/>
      <c r="S291" s="332"/>
      <c r="T291" s="332"/>
    </row>
    <row r="292" spans="1:34" s="95" customFormat="1" ht="13.5" customHeight="1">
      <c r="A292" s="328"/>
      <c r="B292" s="329"/>
      <c r="C292" s="36"/>
      <c r="D292" s="36" t="s">
        <v>64</v>
      </c>
      <c r="E292" s="35"/>
      <c r="F292" s="37"/>
      <c r="G292" s="244"/>
      <c r="H292" s="146"/>
      <c r="I292" s="38"/>
    </row>
    <row r="293" spans="1:34" s="95" customFormat="1" ht="27" customHeight="1">
      <c r="A293" s="145">
        <v>67</v>
      </c>
      <c r="B293" s="10" t="s">
        <v>62</v>
      </c>
      <c r="C293" s="10" t="s">
        <v>65</v>
      </c>
      <c r="D293" s="10" t="s">
        <v>284</v>
      </c>
      <c r="E293" s="10" t="s">
        <v>20</v>
      </c>
      <c r="F293" s="96">
        <f>SUM(F303:F303)</f>
        <v>1.91</v>
      </c>
      <c r="G293" s="323">
        <f>SUM(H296:H302)/F293</f>
        <v>0</v>
      </c>
      <c r="H293" s="146">
        <f>F293*G293</f>
        <v>0</v>
      </c>
      <c r="I293" s="97" t="s">
        <v>262</v>
      </c>
      <c r="K293" s="324"/>
      <c r="L293" s="324"/>
    </row>
    <row r="294" spans="1:34" s="95" customFormat="1" ht="13.5" customHeight="1">
      <c r="A294" s="243"/>
      <c r="B294" s="35"/>
      <c r="C294" s="35"/>
      <c r="D294" s="36" t="s">
        <v>58</v>
      </c>
      <c r="E294" s="35"/>
      <c r="F294" s="37"/>
      <c r="G294" s="244"/>
      <c r="H294" s="146"/>
      <c r="I294" s="38"/>
    </row>
    <row r="295" spans="1:34" s="95" customFormat="1" ht="27" customHeight="1">
      <c r="A295" s="325"/>
      <c r="B295" s="35"/>
      <c r="C295" s="35"/>
      <c r="D295" s="36" t="s">
        <v>270</v>
      </c>
      <c r="E295" s="34"/>
      <c r="F295" s="37"/>
      <c r="G295" s="37"/>
      <c r="H295" s="37"/>
      <c r="I295" s="38"/>
      <c r="J295" s="307"/>
      <c r="K295" s="98"/>
      <c r="L295" s="98"/>
      <c r="M295" s="98"/>
      <c r="N295" s="98"/>
    </row>
    <row r="296" spans="1:34" s="95" customFormat="1" ht="13.5" customHeight="1">
      <c r="A296" s="325" t="s">
        <v>511</v>
      </c>
      <c r="B296" s="35"/>
      <c r="C296" s="35"/>
      <c r="D296" s="36" t="s">
        <v>66</v>
      </c>
      <c r="E296" s="34" t="s">
        <v>20</v>
      </c>
      <c r="F296" s="37">
        <f>F293</f>
        <v>1.91</v>
      </c>
      <c r="G296" s="469"/>
      <c r="H296" s="99">
        <f>F296*G296</f>
        <v>0</v>
      </c>
      <c r="I296" s="38"/>
      <c r="J296" s="200"/>
      <c r="L296" s="200"/>
      <c r="W296" s="326"/>
    </row>
    <row r="297" spans="1:34" s="95" customFormat="1" ht="13.5" customHeight="1">
      <c r="A297" s="325" t="s">
        <v>512</v>
      </c>
      <c r="B297" s="35"/>
      <c r="C297" s="327"/>
      <c r="D297" s="36" t="s">
        <v>118</v>
      </c>
      <c r="E297" s="34" t="s">
        <v>20</v>
      </c>
      <c r="F297" s="37">
        <v>2.1</v>
      </c>
      <c r="G297" s="469"/>
      <c r="H297" s="99">
        <f>F297*G297</f>
        <v>0</v>
      </c>
      <c r="I297" s="38"/>
      <c r="J297" s="278"/>
      <c r="U297" s="200"/>
      <c r="W297" s="200"/>
      <c r="AH297" s="326"/>
    </row>
    <row r="298" spans="1:34" s="95" customFormat="1" ht="13.5" customHeight="1">
      <c r="A298" s="325" t="s">
        <v>513</v>
      </c>
      <c r="B298" s="35"/>
      <c r="C298" s="35"/>
      <c r="D298" s="36" t="s">
        <v>271</v>
      </c>
      <c r="E298" s="34" t="s">
        <v>20</v>
      </c>
      <c r="F298" s="37">
        <v>2.1</v>
      </c>
      <c r="G298" s="469"/>
      <c r="H298" s="99">
        <f>F298*G298</f>
        <v>0</v>
      </c>
      <c r="I298" s="38"/>
      <c r="J298" s="200"/>
      <c r="L298" s="200"/>
      <c r="U298" s="111"/>
      <c r="W298" s="326"/>
    </row>
    <row r="299" spans="1:34" s="95" customFormat="1" ht="27" customHeight="1">
      <c r="A299" s="325"/>
      <c r="B299" s="35"/>
      <c r="C299" s="35"/>
      <c r="D299" s="34" t="s">
        <v>272</v>
      </c>
      <c r="E299" s="34"/>
      <c r="F299" s="37"/>
      <c r="G299" s="335"/>
      <c r="H299" s="99"/>
      <c r="I299" s="38"/>
      <c r="J299" s="200"/>
      <c r="L299" s="200"/>
      <c r="W299" s="200"/>
    </row>
    <row r="300" spans="1:34" s="95" customFormat="1" ht="13.5" customHeight="1">
      <c r="A300" s="325" t="s">
        <v>552</v>
      </c>
      <c r="B300" s="35"/>
      <c r="C300" s="35"/>
      <c r="D300" s="36" t="s">
        <v>268</v>
      </c>
      <c r="E300" s="34" t="s">
        <v>20</v>
      </c>
      <c r="F300" s="37">
        <f>F293</f>
        <v>1.91</v>
      </c>
      <c r="G300" s="469"/>
      <c r="H300" s="99">
        <f>F300*G300</f>
        <v>0</v>
      </c>
      <c r="I300" s="336"/>
      <c r="J300" s="200"/>
      <c r="L300" s="200"/>
      <c r="W300" s="200"/>
    </row>
    <row r="301" spans="1:34" s="95" customFormat="1" ht="13.5" customHeight="1">
      <c r="A301" s="325" t="s">
        <v>553</v>
      </c>
      <c r="B301" s="35"/>
      <c r="C301" s="35"/>
      <c r="D301" s="36" t="s">
        <v>269</v>
      </c>
      <c r="E301" s="34" t="s">
        <v>20</v>
      </c>
      <c r="F301" s="37">
        <v>2.1</v>
      </c>
      <c r="G301" s="469"/>
      <c r="H301" s="99">
        <f>F301*G301</f>
        <v>0</v>
      </c>
      <c r="I301" s="38"/>
      <c r="J301" s="237"/>
      <c r="L301" s="200"/>
      <c r="O301" s="143"/>
      <c r="W301" s="333"/>
    </row>
    <row r="302" spans="1:34" s="95" customFormat="1" ht="13.5" customHeight="1">
      <c r="A302" s="325" t="s">
        <v>554</v>
      </c>
      <c r="B302" s="35"/>
      <c r="C302" s="35"/>
      <c r="D302" s="36" t="s">
        <v>273</v>
      </c>
      <c r="E302" s="34" t="s">
        <v>20</v>
      </c>
      <c r="F302" s="37">
        <v>2.1</v>
      </c>
      <c r="G302" s="469"/>
      <c r="H302" s="99">
        <f>F302*G302</f>
        <v>0</v>
      </c>
      <c r="I302" s="38"/>
      <c r="J302" s="326"/>
      <c r="K302" s="98"/>
      <c r="L302" s="326"/>
      <c r="M302" s="98"/>
      <c r="N302" s="98"/>
      <c r="O302" s="98"/>
      <c r="P302" s="98"/>
      <c r="Q302" s="98"/>
      <c r="R302" s="98"/>
      <c r="S302" s="98"/>
      <c r="T302" s="98"/>
      <c r="W302" s="326"/>
    </row>
    <row r="303" spans="1:34" s="111" customFormat="1" ht="27" customHeight="1">
      <c r="A303" s="145"/>
      <c r="B303" s="39"/>
      <c r="C303" s="10"/>
      <c r="D303" s="36" t="s">
        <v>299</v>
      </c>
      <c r="E303" s="10"/>
      <c r="F303" s="37">
        <f>(1.38+0.53)</f>
        <v>1.91</v>
      </c>
      <c r="G303" s="146"/>
      <c r="H303" s="146"/>
      <c r="I303" s="97"/>
      <c r="U303" s="95"/>
    </row>
    <row r="304" spans="1:34" s="334" customFormat="1" ht="40.5" customHeight="1">
      <c r="A304" s="328"/>
      <c r="B304" s="329"/>
      <c r="C304" s="36"/>
      <c r="D304" s="36" t="s">
        <v>547</v>
      </c>
      <c r="E304" s="34"/>
      <c r="F304" s="37"/>
      <c r="G304" s="330"/>
      <c r="H304" s="330"/>
      <c r="I304" s="331"/>
      <c r="J304" s="332"/>
      <c r="K304" s="332"/>
      <c r="L304" s="333"/>
      <c r="M304" s="332"/>
      <c r="N304" s="332"/>
      <c r="O304" s="332"/>
      <c r="P304" s="332"/>
      <c r="Q304" s="332"/>
      <c r="R304" s="332"/>
      <c r="S304" s="332"/>
      <c r="T304" s="332"/>
    </row>
    <row r="305" spans="1:35" s="95" customFormat="1" ht="13.5" customHeight="1">
      <c r="A305" s="243"/>
      <c r="B305" s="35"/>
      <c r="C305" s="35"/>
      <c r="D305" s="36" t="s">
        <v>64</v>
      </c>
      <c r="E305" s="35"/>
      <c r="F305" s="37"/>
      <c r="G305" s="244"/>
      <c r="H305" s="146"/>
      <c r="I305" s="38"/>
    </row>
    <row r="306" spans="1:35" s="95" customFormat="1" ht="13.5" customHeight="1">
      <c r="A306" s="145">
        <v>68</v>
      </c>
      <c r="B306" s="10" t="s">
        <v>62</v>
      </c>
      <c r="C306" s="10" t="s">
        <v>277</v>
      </c>
      <c r="D306" s="10" t="s">
        <v>285</v>
      </c>
      <c r="E306" s="10" t="s">
        <v>20</v>
      </c>
      <c r="F306" s="96">
        <f>SUM(F312:F313)</f>
        <v>60.429999999999993</v>
      </c>
      <c r="G306" s="323">
        <f>SUM(H309:H311)/F306</f>
        <v>0</v>
      </c>
      <c r="H306" s="146">
        <f>F306*G306</f>
        <v>0</v>
      </c>
      <c r="I306" s="97" t="s">
        <v>262</v>
      </c>
      <c r="K306" s="324"/>
      <c r="L306" s="324"/>
    </row>
    <row r="307" spans="1:35" s="95" customFormat="1" ht="13.5" customHeight="1">
      <c r="A307" s="243"/>
      <c r="B307" s="35"/>
      <c r="C307" s="35"/>
      <c r="D307" s="36" t="s">
        <v>58</v>
      </c>
      <c r="E307" s="35"/>
      <c r="F307" s="37"/>
      <c r="G307" s="244"/>
      <c r="H307" s="146"/>
      <c r="I307" s="38"/>
    </row>
    <row r="308" spans="1:35" s="95" customFormat="1" ht="27" customHeight="1">
      <c r="A308" s="325"/>
      <c r="B308" s="35"/>
      <c r="C308" s="35"/>
      <c r="D308" s="36" t="s">
        <v>275</v>
      </c>
      <c r="E308" s="34"/>
      <c r="F308" s="37"/>
      <c r="G308" s="37"/>
      <c r="H308" s="37"/>
      <c r="I308" s="38"/>
      <c r="J308" s="307"/>
      <c r="K308" s="98"/>
      <c r="L308" s="98"/>
      <c r="M308" s="98"/>
    </row>
    <row r="309" spans="1:35" s="95" customFormat="1" ht="13.5" customHeight="1">
      <c r="A309" s="325" t="s">
        <v>514</v>
      </c>
      <c r="B309" s="35"/>
      <c r="C309" s="35"/>
      <c r="D309" s="36" t="s">
        <v>66</v>
      </c>
      <c r="E309" s="34" t="s">
        <v>20</v>
      </c>
      <c r="F309" s="37">
        <f>F306</f>
        <v>60.429999999999993</v>
      </c>
      <c r="G309" s="469"/>
      <c r="H309" s="99">
        <f>F309*G309</f>
        <v>0</v>
      </c>
      <c r="I309" s="38"/>
      <c r="J309" s="200"/>
      <c r="L309" s="200"/>
      <c r="W309" s="326"/>
    </row>
    <row r="310" spans="1:35" s="95" customFormat="1" ht="13.5" customHeight="1">
      <c r="A310" s="325" t="s">
        <v>515</v>
      </c>
      <c r="B310" s="35"/>
      <c r="C310" s="35"/>
      <c r="D310" s="36" t="s">
        <v>118</v>
      </c>
      <c r="E310" s="34" t="s">
        <v>20</v>
      </c>
      <c r="F310" s="37">
        <v>66.5</v>
      </c>
      <c r="G310" s="469"/>
      <c r="H310" s="99">
        <f>F310*G310</f>
        <v>0</v>
      </c>
      <c r="I310" s="38"/>
      <c r="J310" s="278"/>
      <c r="V310" s="200"/>
      <c r="X310" s="200"/>
      <c r="AI310" s="326"/>
    </row>
    <row r="311" spans="1:35" s="95" customFormat="1" ht="27" customHeight="1">
      <c r="A311" s="325" t="s">
        <v>516</v>
      </c>
      <c r="B311" s="35"/>
      <c r="C311" s="35"/>
      <c r="D311" s="36" t="s">
        <v>276</v>
      </c>
      <c r="E311" s="34" t="s">
        <v>20</v>
      </c>
      <c r="F311" s="37">
        <v>66.5</v>
      </c>
      <c r="G311" s="469"/>
      <c r="H311" s="99">
        <f>F311*G311</f>
        <v>0</v>
      </c>
      <c r="I311" s="38"/>
      <c r="J311" s="326"/>
      <c r="K311" s="98"/>
      <c r="L311" s="326"/>
      <c r="M311" s="98"/>
      <c r="N311" s="98"/>
      <c r="O311" s="98"/>
      <c r="P311" s="98"/>
      <c r="Q311" s="98"/>
      <c r="R311" s="98"/>
      <c r="S311" s="98"/>
      <c r="T311" s="98"/>
      <c r="W311" s="326"/>
    </row>
    <row r="312" spans="1:35" s="111" customFormat="1" ht="13.5" customHeight="1">
      <c r="A312" s="145"/>
      <c r="B312" s="39"/>
      <c r="C312" s="10"/>
      <c r="D312" s="36" t="s">
        <v>198</v>
      </c>
      <c r="E312" s="10"/>
      <c r="F312" s="37">
        <f>31.85+35.72</f>
        <v>67.569999999999993</v>
      </c>
      <c r="G312" s="146"/>
      <c r="H312" s="146"/>
      <c r="I312" s="97"/>
      <c r="U312" s="95"/>
    </row>
    <row r="313" spans="1:35" s="111" customFormat="1" ht="27" customHeight="1">
      <c r="A313" s="145"/>
      <c r="B313" s="39"/>
      <c r="C313" s="10"/>
      <c r="D313" s="36" t="s">
        <v>274</v>
      </c>
      <c r="E313" s="10"/>
      <c r="F313" s="37">
        <f>-(3.14+4)</f>
        <v>-7.1400000000000006</v>
      </c>
      <c r="G313" s="146"/>
      <c r="H313" s="146"/>
      <c r="I313" s="97"/>
      <c r="U313" s="95"/>
    </row>
    <row r="314" spans="1:35" s="334" customFormat="1" ht="27" customHeight="1">
      <c r="A314" s="328"/>
      <c r="B314" s="329"/>
      <c r="C314" s="36"/>
      <c r="D314" s="36" t="s">
        <v>119</v>
      </c>
      <c r="E314" s="34"/>
      <c r="F314" s="37"/>
      <c r="G314" s="330"/>
      <c r="H314" s="330"/>
      <c r="I314" s="331"/>
      <c r="J314" s="332"/>
      <c r="K314" s="332"/>
      <c r="L314" s="333"/>
      <c r="M314" s="332"/>
      <c r="N314" s="332"/>
      <c r="O314" s="332"/>
      <c r="P314" s="332"/>
      <c r="Q314" s="332"/>
      <c r="R314" s="332"/>
      <c r="S314" s="332"/>
      <c r="T314" s="332"/>
    </row>
    <row r="315" spans="1:35" s="95" customFormat="1" ht="13.5" customHeight="1">
      <c r="A315" s="243"/>
      <c r="B315" s="35"/>
      <c r="C315" s="35"/>
      <c r="D315" s="36" t="s">
        <v>64</v>
      </c>
      <c r="E315" s="35"/>
      <c r="F315" s="37"/>
      <c r="G315" s="244"/>
      <c r="H315" s="146"/>
      <c r="I315" s="38"/>
    </row>
    <row r="316" spans="1:35" s="95" customFormat="1" ht="27" customHeight="1">
      <c r="A316" s="145">
        <v>69</v>
      </c>
      <c r="B316" s="10" t="s">
        <v>62</v>
      </c>
      <c r="C316" s="10" t="s">
        <v>65</v>
      </c>
      <c r="D316" s="10" t="s">
        <v>286</v>
      </c>
      <c r="E316" s="10" t="s">
        <v>20</v>
      </c>
      <c r="F316" s="96">
        <f>SUM(F326:F326)</f>
        <v>7.1400000000000006</v>
      </c>
      <c r="G316" s="323">
        <f>SUM(H319:H325)/F316</f>
        <v>0</v>
      </c>
      <c r="H316" s="146">
        <f>F316*G316</f>
        <v>0</v>
      </c>
      <c r="I316" s="97" t="s">
        <v>262</v>
      </c>
      <c r="K316" s="324"/>
      <c r="L316" s="324"/>
    </row>
    <row r="317" spans="1:35" s="95" customFormat="1" ht="13.5" customHeight="1">
      <c r="A317" s="243"/>
      <c r="B317" s="35"/>
      <c r="C317" s="35"/>
      <c r="D317" s="36" t="s">
        <v>58</v>
      </c>
      <c r="E317" s="35"/>
      <c r="F317" s="37"/>
      <c r="G317" s="244"/>
      <c r="H317" s="146"/>
      <c r="I317" s="38"/>
    </row>
    <row r="318" spans="1:35" s="95" customFormat="1" ht="27" customHeight="1">
      <c r="A318" s="325"/>
      <c r="B318" s="35"/>
      <c r="C318" s="35"/>
      <c r="D318" s="36" t="s">
        <v>278</v>
      </c>
      <c r="E318" s="34"/>
      <c r="F318" s="37"/>
      <c r="G318" s="37"/>
      <c r="H318" s="37"/>
      <c r="I318" s="38"/>
      <c r="J318" s="307"/>
      <c r="K318" s="98"/>
      <c r="L318" s="98"/>
      <c r="M318" s="98"/>
      <c r="N318" s="98"/>
    </row>
    <row r="319" spans="1:35" s="95" customFormat="1" ht="13.5" customHeight="1">
      <c r="A319" s="325" t="s">
        <v>517</v>
      </c>
      <c r="B319" s="35"/>
      <c r="C319" s="35"/>
      <c r="D319" s="36" t="s">
        <v>66</v>
      </c>
      <c r="E319" s="34" t="s">
        <v>20</v>
      </c>
      <c r="F319" s="37">
        <f>F316</f>
        <v>7.1400000000000006</v>
      </c>
      <c r="G319" s="469"/>
      <c r="H319" s="99">
        <f>F319*G319</f>
        <v>0</v>
      </c>
      <c r="I319" s="38"/>
      <c r="J319" s="200"/>
      <c r="L319" s="200"/>
      <c r="W319" s="326"/>
    </row>
    <row r="320" spans="1:35" s="95" customFormat="1" ht="13.5" customHeight="1">
      <c r="A320" s="325" t="s">
        <v>518</v>
      </c>
      <c r="B320" s="35"/>
      <c r="C320" s="327"/>
      <c r="D320" s="36" t="s">
        <v>118</v>
      </c>
      <c r="E320" s="34" t="s">
        <v>20</v>
      </c>
      <c r="F320" s="37">
        <v>7.85</v>
      </c>
      <c r="G320" s="469"/>
      <c r="H320" s="99">
        <f>F320*G320</f>
        <v>0</v>
      </c>
      <c r="I320" s="38"/>
      <c r="J320" s="278"/>
      <c r="V320" s="200"/>
      <c r="X320" s="200"/>
      <c r="AI320" s="326"/>
    </row>
    <row r="321" spans="1:35" s="95" customFormat="1" ht="13.5" customHeight="1">
      <c r="A321" s="325" t="s">
        <v>519</v>
      </c>
      <c r="B321" s="35"/>
      <c r="C321" s="35"/>
      <c r="D321" s="36" t="s">
        <v>279</v>
      </c>
      <c r="E321" s="34" t="s">
        <v>20</v>
      </c>
      <c r="F321" s="37">
        <v>7.85</v>
      </c>
      <c r="G321" s="469"/>
      <c r="H321" s="99">
        <f>F321*G321</f>
        <v>0</v>
      </c>
      <c r="I321" s="38"/>
      <c r="J321" s="200"/>
      <c r="L321" s="200"/>
      <c r="U321" s="111"/>
      <c r="W321" s="326"/>
    </row>
    <row r="322" spans="1:35" s="95" customFormat="1" ht="27" customHeight="1">
      <c r="A322" s="325"/>
      <c r="B322" s="35"/>
      <c r="C322" s="35"/>
      <c r="D322" s="34" t="s">
        <v>280</v>
      </c>
      <c r="E322" s="34"/>
      <c r="F322" s="37"/>
      <c r="G322" s="335"/>
      <c r="H322" s="99"/>
      <c r="I322" s="38"/>
      <c r="J322" s="200"/>
      <c r="L322" s="200"/>
      <c r="W322" s="200"/>
    </row>
    <row r="323" spans="1:35" s="95" customFormat="1" ht="13.5" customHeight="1">
      <c r="A323" s="325" t="s">
        <v>520</v>
      </c>
      <c r="B323" s="35"/>
      <c r="C323" s="35"/>
      <c r="D323" s="36" t="s">
        <v>268</v>
      </c>
      <c r="E323" s="34" t="s">
        <v>20</v>
      </c>
      <c r="F323" s="37">
        <f>F316</f>
        <v>7.1400000000000006</v>
      </c>
      <c r="G323" s="469"/>
      <c r="H323" s="99">
        <f>F323*G323</f>
        <v>0</v>
      </c>
      <c r="I323" s="336"/>
      <c r="J323" s="200"/>
      <c r="L323" s="200"/>
      <c r="W323" s="200"/>
    </row>
    <row r="324" spans="1:35" s="95" customFormat="1" ht="13.5" customHeight="1">
      <c r="A324" s="325" t="s">
        <v>521</v>
      </c>
      <c r="B324" s="35"/>
      <c r="C324" s="35"/>
      <c r="D324" s="36" t="s">
        <v>269</v>
      </c>
      <c r="E324" s="34" t="s">
        <v>20</v>
      </c>
      <c r="F324" s="37">
        <v>7.85</v>
      </c>
      <c r="G324" s="469"/>
      <c r="H324" s="99">
        <f>F324*G324</f>
        <v>0</v>
      </c>
      <c r="I324" s="38"/>
      <c r="J324" s="237"/>
      <c r="L324" s="200"/>
      <c r="O324" s="143"/>
      <c r="W324" s="333"/>
    </row>
    <row r="325" spans="1:35" s="95" customFormat="1" ht="13.5" customHeight="1">
      <c r="A325" s="325" t="s">
        <v>555</v>
      </c>
      <c r="B325" s="35"/>
      <c r="C325" s="35"/>
      <c r="D325" s="36" t="s">
        <v>281</v>
      </c>
      <c r="E325" s="34" t="s">
        <v>20</v>
      </c>
      <c r="F325" s="37">
        <v>7.85</v>
      </c>
      <c r="G325" s="469"/>
      <c r="H325" s="99">
        <f>F325*G325</f>
        <v>0</v>
      </c>
      <c r="I325" s="38"/>
      <c r="J325" s="326"/>
      <c r="K325" s="98"/>
      <c r="L325" s="326"/>
      <c r="M325" s="98"/>
      <c r="N325" s="98"/>
      <c r="O325" s="98"/>
      <c r="P325" s="98"/>
      <c r="Q325" s="98"/>
      <c r="R325" s="98"/>
      <c r="S325" s="98"/>
      <c r="T325" s="98"/>
      <c r="W325" s="326"/>
    </row>
    <row r="326" spans="1:35" s="111" customFormat="1" ht="27" customHeight="1">
      <c r="A326" s="145"/>
      <c r="B326" s="39"/>
      <c r="C326" s="10"/>
      <c r="D326" s="36" t="s">
        <v>298</v>
      </c>
      <c r="E326" s="10"/>
      <c r="F326" s="37">
        <f>(3.14+4)</f>
        <v>7.1400000000000006</v>
      </c>
      <c r="G326" s="146"/>
      <c r="H326" s="146"/>
      <c r="I326" s="97"/>
      <c r="U326" s="95"/>
    </row>
    <row r="327" spans="1:35" s="334" customFormat="1" ht="40.5" customHeight="1">
      <c r="A327" s="328"/>
      <c r="B327" s="329"/>
      <c r="C327" s="36"/>
      <c r="D327" s="36" t="s">
        <v>547</v>
      </c>
      <c r="E327" s="34"/>
      <c r="F327" s="37"/>
      <c r="G327" s="330"/>
      <c r="H327" s="330"/>
      <c r="I327" s="331"/>
      <c r="J327" s="332"/>
      <c r="K327" s="332"/>
      <c r="L327" s="333"/>
      <c r="M327" s="332"/>
      <c r="N327" s="332"/>
      <c r="O327" s="332"/>
      <c r="P327" s="332"/>
      <c r="Q327" s="332"/>
      <c r="R327" s="332"/>
      <c r="S327" s="332"/>
      <c r="T327" s="332"/>
    </row>
    <row r="328" spans="1:35" s="95" customFormat="1" ht="13.5" customHeight="1">
      <c r="A328" s="243"/>
      <c r="B328" s="35"/>
      <c r="C328" s="35"/>
      <c r="D328" s="36" t="s">
        <v>64</v>
      </c>
      <c r="E328" s="35"/>
      <c r="F328" s="37"/>
      <c r="G328" s="244"/>
      <c r="H328" s="146"/>
      <c r="I328" s="38"/>
    </row>
    <row r="329" spans="1:35" s="95" customFormat="1" ht="13.5" customHeight="1">
      <c r="A329" s="145">
        <v>70</v>
      </c>
      <c r="B329" s="10" t="s">
        <v>62</v>
      </c>
      <c r="C329" s="10" t="s">
        <v>291</v>
      </c>
      <c r="D329" s="10" t="s">
        <v>287</v>
      </c>
      <c r="E329" s="10" t="s">
        <v>20</v>
      </c>
      <c r="F329" s="96">
        <f>SUM(F338:F338)</f>
        <v>9.2899999999999991</v>
      </c>
      <c r="G329" s="323">
        <f>SUM(H332:H337)/F329</f>
        <v>0</v>
      </c>
      <c r="H329" s="146">
        <f>F329*G329</f>
        <v>0</v>
      </c>
      <c r="I329" s="97" t="s">
        <v>262</v>
      </c>
      <c r="K329" s="324"/>
      <c r="L329" s="324"/>
    </row>
    <row r="330" spans="1:35" s="95" customFormat="1" ht="13.5" customHeight="1">
      <c r="A330" s="243"/>
      <c r="B330" s="35"/>
      <c r="C330" s="35"/>
      <c r="D330" s="36" t="s">
        <v>58</v>
      </c>
      <c r="E330" s="35"/>
      <c r="F330" s="37"/>
      <c r="G330" s="244"/>
      <c r="H330" s="146"/>
      <c r="I330" s="38"/>
    </row>
    <row r="331" spans="1:35" s="95" customFormat="1" ht="27" customHeight="1">
      <c r="A331" s="325"/>
      <c r="B331" s="35"/>
      <c r="C331" s="35"/>
      <c r="D331" s="36" t="s">
        <v>288</v>
      </c>
      <c r="E331" s="34"/>
      <c r="F331" s="37"/>
      <c r="G331" s="37"/>
      <c r="H331" s="37"/>
      <c r="I331" s="38"/>
      <c r="J331" s="307"/>
      <c r="K331" s="98"/>
      <c r="L331" s="98"/>
      <c r="M331" s="98"/>
    </row>
    <row r="332" spans="1:35" s="95" customFormat="1" ht="13.5" customHeight="1">
      <c r="A332" s="325" t="s">
        <v>556</v>
      </c>
      <c r="B332" s="35"/>
      <c r="C332" s="35"/>
      <c r="D332" s="36" t="s">
        <v>66</v>
      </c>
      <c r="E332" s="34" t="s">
        <v>20</v>
      </c>
      <c r="F332" s="37">
        <f>F329</f>
        <v>9.2899999999999991</v>
      </c>
      <c r="G332" s="469"/>
      <c r="H332" s="99">
        <f>F332*G332</f>
        <v>0</v>
      </c>
      <c r="I332" s="38"/>
      <c r="J332" s="200"/>
      <c r="L332" s="200"/>
      <c r="W332" s="326"/>
    </row>
    <row r="333" spans="1:35" s="95" customFormat="1" ht="13.5" customHeight="1">
      <c r="A333" s="325" t="s">
        <v>557</v>
      </c>
      <c r="B333" s="35"/>
      <c r="C333" s="35"/>
      <c r="D333" s="36" t="s">
        <v>118</v>
      </c>
      <c r="E333" s="34" t="s">
        <v>20</v>
      </c>
      <c r="F333" s="37">
        <v>10.25</v>
      </c>
      <c r="G333" s="469"/>
      <c r="H333" s="99">
        <f>F333*G333</f>
        <v>0</v>
      </c>
      <c r="I333" s="38"/>
      <c r="J333" s="278"/>
      <c r="V333" s="200"/>
      <c r="X333" s="200"/>
      <c r="AI333" s="326"/>
    </row>
    <row r="334" spans="1:35" s="95" customFormat="1" ht="13.5" customHeight="1">
      <c r="A334" s="325"/>
      <c r="B334" s="35"/>
      <c r="C334" s="35"/>
      <c r="D334" s="36" t="s">
        <v>345</v>
      </c>
      <c r="E334" s="34"/>
      <c r="F334" s="37"/>
      <c r="G334" s="335"/>
      <c r="H334" s="99"/>
      <c r="I334" s="38"/>
      <c r="J334" s="167"/>
      <c r="K334" s="98"/>
      <c r="L334" s="326"/>
      <c r="M334" s="98"/>
      <c r="N334" s="98"/>
      <c r="O334" s="98"/>
      <c r="P334" s="98"/>
      <c r="Q334" s="98"/>
      <c r="R334" s="98"/>
      <c r="S334" s="98"/>
      <c r="T334" s="98"/>
      <c r="W334" s="326"/>
    </row>
    <row r="335" spans="1:35" s="95" customFormat="1" ht="13.5" customHeight="1">
      <c r="A335" s="325" t="s">
        <v>558</v>
      </c>
      <c r="B335" s="35"/>
      <c r="C335" s="35"/>
      <c r="D335" s="36" t="s">
        <v>348</v>
      </c>
      <c r="E335" s="34" t="s">
        <v>20</v>
      </c>
      <c r="F335" s="37">
        <v>9.75</v>
      </c>
      <c r="G335" s="469"/>
      <c r="H335" s="99">
        <f>F335*G335</f>
        <v>0</v>
      </c>
      <c r="I335" s="336"/>
      <c r="J335" s="200"/>
      <c r="L335" s="200"/>
      <c r="W335" s="200"/>
    </row>
    <row r="336" spans="1:35" s="95" customFormat="1" ht="13.5" customHeight="1">
      <c r="A336" s="325" t="s">
        <v>559</v>
      </c>
      <c r="B336" s="35"/>
      <c r="C336" s="35"/>
      <c r="D336" s="36" t="s">
        <v>341</v>
      </c>
      <c r="E336" s="34" t="s">
        <v>20</v>
      </c>
      <c r="F336" s="37">
        <f>F329</f>
        <v>9.2899999999999991</v>
      </c>
      <c r="G336" s="469"/>
      <c r="H336" s="99">
        <f>F336*G336</f>
        <v>0</v>
      </c>
      <c r="I336" s="336"/>
      <c r="J336" s="200"/>
      <c r="L336" s="200"/>
      <c r="W336" s="200"/>
    </row>
    <row r="337" spans="1:35" s="95" customFormat="1" ht="13.5" customHeight="1">
      <c r="A337" s="325" t="s">
        <v>560</v>
      </c>
      <c r="B337" s="35"/>
      <c r="C337" s="35"/>
      <c r="D337" s="36" t="s">
        <v>340</v>
      </c>
      <c r="E337" s="34" t="s">
        <v>20</v>
      </c>
      <c r="F337" s="37">
        <v>10.25</v>
      </c>
      <c r="G337" s="469"/>
      <c r="H337" s="99">
        <f>F337*G337</f>
        <v>0</v>
      </c>
      <c r="I337" s="336"/>
      <c r="J337" s="200"/>
      <c r="L337" s="200"/>
      <c r="W337" s="200"/>
    </row>
    <row r="338" spans="1:35" s="111" customFormat="1" ht="13.5" customHeight="1">
      <c r="A338" s="145"/>
      <c r="B338" s="39"/>
      <c r="C338" s="10"/>
      <c r="D338" s="36" t="s">
        <v>267</v>
      </c>
      <c r="E338" s="10"/>
      <c r="F338" s="37">
        <f>9.29</f>
        <v>9.2899999999999991</v>
      </c>
      <c r="G338" s="146"/>
      <c r="H338" s="146"/>
      <c r="I338" s="97"/>
      <c r="U338" s="95"/>
    </row>
    <row r="339" spans="1:35" s="334" customFormat="1" ht="27" customHeight="1">
      <c r="A339" s="328"/>
      <c r="B339" s="329"/>
      <c r="C339" s="36"/>
      <c r="D339" s="36" t="s">
        <v>119</v>
      </c>
      <c r="E339" s="34"/>
      <c r="F339" s="37"/>
      <c r="G339" s="330"/>
      <c r="H339" s="330"/>
      <c r="I339" s="331"/>
      <c r="J339" s="332"/>
      <c r="K339" s="332"/>
      <c r="L339" s="333"/>
      <c r="M339" s="332"/>
      <c r="N339" s="332"/>
      <c r="O339" s="332"/>
      <c r="P339" s="332"/>
      <c r="Q339" s="332"/>
      <c r="R339" s="332"/>
      <c r="S339" s="332"/>
      <c r="T339" s="332"/>
    </row>
    <row r="340" spans="1:35" s="95" customFormat="1" ht="13.5" customHeight="1">
      <c r="A340" s="243"/>
      <c r="B340" s="35"/>
      <c r="C340" s="35"/>
      <c r="D340" s="36" t="s">
        <v>64</v>
      </c>
      <c r="E340" s="35"/>
      <c r="F340" s="37"/>
      <c r="G340" s="244"/>
      <c r="H340" s="146"/>
      <c r="I340" s="38"/>
    </row>
    <row r="341" spans="1:35" s="95" customFormat="1" ht="27" customHeight="1">
      <c r="A341" s="145">
        <v>71</v>
      </c>
      <c r="B341" s="10" t="s">
        <v>62</v>
      </c>
      <c r="C341" s="10" t="s">
        <v>292</v>
      </c>
      <c r="D341" s="10" t="s">
        <v>282</v>
      </c>
      <c r="E341" s="10" t="s">
        <v>20</v>
      </c>
      <c r="F341" s="96">
        <f>SUM(F347:F348)</f>
        <v>215.25</v>
      </c>
      <c r="G341" s="323">
        <f>SUM(H344:H346)/F341</f>
        <v>0</v>
      </c>
      <c r="H341" s="146">
        <f>F341*G341</f>
        <v>0</v>
      </c>
      <c r="I341" s="97" t="s">
        <v>262</v>
      </c>
      <c r="K341" s="324"/>
      <c r="L341" s="324"/>
    </row>
    <row r="342" spans="1:35" s="95" customFormat="1" ht="13.5" customHeight="1">
      <c r="A342" s="243"/>
      <c r="B342" s="35"/>
      <c r="C342" s="35"/>
      <c r="D342" s="36" t="s">
        <v>58</v>
      </c>
      <c r="E342" s="35"/>
      <c r="F342" s="37"/>
      <c r="G342" s="244"/>
      <c r="H342" s="146"/>
      <c r="I342" s="38"/>
    </row>
    <row r="343" spans="1:35" s="95" customFormat="1" ht="27" customHeight="1">
      <c r="A343" s="325"/>
      <c r="B343" s="35"/>
      <c r="C343" s="35"/>
      <c r="D343" s="36" t="s">
        <v>293</v>
      </c>
      <c r="E343" s="34"/>
      <c r="F343" s="37"/>
      <c r="G343" s="37"/>
      <c r="H343" s="37"/>
      <c r="I343" s="38"/>
      <c r="J343" s="307"/>
    </row>
    <row r="344" spans="1:35" s="95" customFormat="1" ht="13.5" customHeight="1">
      <c r="A344" s="325" t="s">
        <v>561</v>
      </c>
      <c r="B344" s="35"/>
      <c r="C344" s="35"/>
      <c r="D344" s="36" t="s">
        <v>199</v>
      </c>
      <c r="E344" s="34" t="s">
        <v>20</v>
      </c>
      <c r="F344" s="37">
        <f>F341</f>
        <v>215.25</v>
      </c>
      <c r="G344" s="469"/>
      <c r="H344" s="99">
        <f>F344*G344</f>
        <v>0</v>
      </c>
      <c r="I344" s="38"/>
      <c r="J344" s="200"/>
      <c r="L344" s="200"/>
      <c r="W344" s="326"/>
    </row>
    <row r="345" spans="1:35" s="95" customFormat="1" ht="13.5" customHeight="1">
      <c r="A345" s="325" t="s">
        <v>562</v>
      </c>
      <c r="B345" s="35"/>
      <c r="C345" s="35"/>
      <c r="D345" s="36" t="s">
        <v>200</v>
      </c>
      <c r="E345" s="34" t="s">
        <v>20</v>
      </c>
      <c r="F345" s="37">
        <v>236.8</v>
      </c>
      <c r="G345" s="469"/>
      <c r="H345" s="99">
        <f>F345*G345</f>
        <v>0</v>
      </c>
      <c r="I345" s="38"/>
      <c r="J345" s="278"/>
      <c r="V345" s="200"/>
      <c r="X345" s="200"/>
      <c r="AI345" s="326"/>
    </row>
    <row r="346" spans="1:35" s="95" customFormat="1" ht="27" customHeight="1">
      <c r="A346" s="325" t="s">
        <v>563</v>
      </c>
      <c r="B346" s="35"/>
      <c r="C346" s="35"/>
      <c r="D346" s="36" t="s">
        <v>294</v>
      </c>
      <c r="E346" s="34" t="s">
        <v>20</v>
      </c>
      <c r="F346" s="37">
        <v>236.8</v>
      </c>
      <c r="G346" s="469"/>
      <c r="H346" s="99">
        <f>F346*G346</f>
        <v>0</v>
      </c>
      <c r="I346" s="38"/>
      <c r="J346" s="326"/>
      <c r="K346" s="98"/>
      <c r="L346" s="200"/>
    </row>
    <row r="347" spans="1:35" s="111" customFormat="1" ht="27" customHeight="1">
      <c r="A347" s="145"/>
      <c r="B347" s="39"/>
      <c r="C347" s="10"/>
      <c r="D347" s="36" t="s">
        <v>289</v>
      </c>
      <c r="E347" s="10"/>
      <c r="F347" s="37">
        <f>(6.53+16.2+14.52+16.44+15.02+16.83)+(54.39+18.44+16.63)+(21.85+18.06+15.84)</f>
        <v>230.75</v>
      </c>
      <c r="G347" s="146"/>
      <c r="H347" s="146"/>
      <c r="I347" s="97"/>
      <c r="U347" s="95"/>
    </row>
    <row r="348" spans="1:35" s="111" customFormat="1" ht="40.5" customHeight="1">
      <c r="A348" s="145"/>
      <c r="B348" s="39"/>
      <c r="C348" s="10"/>
      <c r="D348" s="36" t="s">
        <v>290</v>
      </c>
      <c r="E348" s="10"/>
      <c r="F348" s="37">
        <f>-((0.98+0.69+1.03+0.97+1.15)+(4.85+1.13+0.97)+(0.6+0.79+2.34))</f>
        <v>-15.5</v>
      </c>
      <c r="G348" s="146"/>
      <c r="H348" s="146"/>
      <c r="I348" s="97"/>
      <c r="U348" s="95"/>
    </row>
    <row r="349" spans="1:35" s="334" customFormat="1" ht="27" customHeight="1">
      <c r="A349" s="328"/>
      <c r="B349" s="329"/>
      <c r="C349" s="36"/>
      <c r="D349" s="36" t="s">
        <v>119</v>
      </c>
      <c r="E349" s="34"/>
      <c r="F349" s="37"/>
      <c r="G349" s="330"/>
      <c r="H349" s="330"/>
      <c r="I349" s="331"/>
      <c r="J349" s="332"/>
      <c r="K349" s="332"/>
      <c r="L349" s="333"/>
      <c r="M349" s="332"/>
      <c r="N349" s="332"/>
      <c r="O349" s="332"/>
      <c r="P349" s="332"/>
      <c r="Q349" s="332"/>
      <c r="R349" s="332"/>
      <c r="S349" s="332"/>
      <c r="T349" s="332"/>
    </row>
    <row r="350" spans="1:35" s="95" customFormat="1" ht="13.5" customHeight="1">
      <c r="A350" s="243"/>
      <c r="B350" s="35"/>
      <c r="C350" s="35"/>
      <c r="D350" s="36" t="s">
        <v>64</v>
      </c>
      <c r="E350" s="35"/>
      <c r="F350" s="37"/>
      <c r="G350" s="244"/>
      <c r="H350" s="146"/>
      <c r="I350" s="38"/>
    </row>
    <row r="351" spans="1:35" s="95" customFormat="1" ht="27" customHeight="1">
      <c r="A351" s="145">
        <v>72</v>
      </c>
      <c r="B351" s="10" t="s">
        <v>62</v>
      </c>
      <c r="C351" s="10" t="s">
        <v>295</v>
      </c>
      <c r="D351" s="10" t="s">
        <v>296</v>
      </c>
      <c r="E351" s="10" t="s">
        <v>20</v>
      </c>
      <c r="F351" s="96">
        <f>SUM(F361:F361)</f>
        <v>15.5</v>
      </c>
      <c r="G351" s="323">
        <f>SUM(H354:H360)/F351</f>
        <v>0</v>
      </c>
      <c r="H351" s="146">
        <f>F351*G351</f>
        <v>0</v>
      </c>
      <c r="I351" s="97" t="s">
        <v>262</v>
      </c>
      <c r="K351" s="324"/>
      <c r="L351" s="324"/>
    </row>
    <row r="352" spans="1:35" s="95" customFormat="1" ht="13.5" customHeight="1">
      <c r="A352" s="243"/>
      <c r="B352" s="35"/>
      <c r="C352" s="35"/>
      <c r="D352" s="36" t="s">
        <v>58</v>
      </c>
      <c r="E352" s="35"/>
      <c r="F352" s="37"/>
      <c r="G352" s="244"/>
      <c r="H352" s="146"/>
      <c r="I352" s="38"/>
    </row>
    <row r="353" spans="1:35" s="95" customFormat="1" ht="27" customHeight="1">
      <c r="A353" s="325"/>
      <c r="B353" s="35"/>
      <c r="C353" s="35"/>
      <c r="D353" s="36" t="s">
        <v>300</v>
      </c>
      <c r="E353" s="34"/>
      <c r="F353" s="37"/>
      <c r="G353" s="37"/>
      <c r="H353" s="37"/>
      <c r="I353" s="38"/>
      <c r="J353" s="307"/>
      <c r="L353" s="237"/>
    </row>
    <row r="354" spans="1:35" s="95" customFormat="1" ht="13.5" customHeight="1">
      <c r="A354" s="325" t="s">
        <v>564</v>
      </c>
      <c r="B354" s="35"/>
      <c r="C354" s="35"/>
      <c r="D354" s="36" t="s">
        <v>199</v>
      </c>
      <c r="E354" s="34" t="s">
        <v>20</v>
      </c>
      <c r="F354" s="37">
        <f>F351</f>
        <v>15.5</v>
      </c>
      <c r="G354" s="469"/>
      <c r="H354" s="99">
        <f>F354*G354</f>
        <v>0</v>
      </c>
      <c r="I354" s="38"/>
      <c r="J354" s="200"/>
      <c r="L354" s="200"/>
      <c r="W354" s="326"/>
    </row>
    <row r="355" spans="1:35" s="95" customFormat="1" ht="13.5" customHeight="1">
      <c r="A355" s="325" t="s">
        <v>565</v>
      </c>
      <c r="B355" s="35"/>
      <c r="C355" s="35"/>
      <c r="D355" s="36" t="s">
        <v>200</v>
      </c>
      <c r="E355" s="34" t="s">
        <v>20</v>
      </c>
      <c r="F355" s="37">
        <v>17.05</v>
      </c>
      <c r="G355" s="469"/>
      <c r="H355" s="99">
        <f>F355*G355</f>
        <v>0</v>
      </c>
      <c r="I355" s="38"/>
      <c r="J355" s="278"/>
      <c r="V355" s="200"/>
      <c r="X355" s="200"/>
      <c r="AI355" s="326"/>
    </row>
    <row r="356" spans="1:35" s="95" customFormat="1" ht="13.5" customHeight="1">
      <c r="A356" s="325" t="s">
        <v>566</v>
      </c>
      <c r="B356" s="35"/>
      <c r="C356" s="35"/>
      <c r="D356" s="36" t="s">
        <v>301</v>
      </c>
      <c r="E356" s="34" t="s">
        <v>20</v>
      </c>
      <c r="F356" s="37">
        <v>17.05</v>
      </c>
      <c r="G356" s="469"/>
      <c r="H356" s="99">
        <f>F356*G356</f>
        <v>0</v>
      </c>
      <c r="I356" s="38"/>
      <c r="J356" s="200"/>
      <c r="L356" s="200"/>
      <c r="U356" s="111"/>
      <c r="W356" s="326"/>
    </row>
    <row r="357" spans="1:35" s="95" customFormat="1" ht="27" customHeight="1">
      <c r="A357" s="325"/>
      <c r="B357" s="35"/>
      <c r="C357" s="35"/>
      <c r="D357" s="34" t="s">
        <v>302</v>
      </c>
      <c r="E357" s="34"/>
      <c r="F357" s="37"/>
      <c r="G357" s="335"/>
      <c r="H357" s="99"/>
      <c r="I357" s="38"/>
      <c r="J357" s="200"/>
      <c r="L357" s="200"/>
      <c r="W357" s="200"/>
    </row>
    <row r="358" spans="1:35" s="95" customFormat="1" ht="13.5" customHeight="1">
      <c r="A358" s="325" t="s">
        <v>567</v>
      </c>
      <c r="B358" s="35"/>
      <c r="C358" s="35"/>
      <c r="D358" s="36" t="s">
        <v>268</v>
      </c>
      <c r="E358" s="34" t="s">
        <v>20</v>
      </c>
      <c r="F358" s="37">
        <f>F351</f>
        <v>15.5</v>
      </c>
      <c r="G358" s="469"/>
      <c r="H358" s="99">
        <f>F358*G358</f>
        <v>0</v>
      </c>
      <c r="I358" s="336"/>
      <c r="J358" s="200"/>
      <c r="L358" s="200"/>
      <c r="W358" s="200"/>
    </row>
    <row r="359" spans="1:35" s="95" customFormat="1" ht="13.5" customHeight="1">
      <c r="A359" s="325" t="s">
        <v>568</v>
      </c>
      <c r="B359" s="35"/>
      <c r="C359" s="35"/>
      <c r="D359" s="36" t="s">
        <v>269</v>
      </c>
      <c r="E359" s="34" t="s">
        <v>20</v>
      </c>
      <c r="F359" s="37">
        <v>17.05</v>
      </c>
      <c r="G359" s="469"/>
      <c r="H359" s="99">
        <f>F359*G359</f>
        <v>0</v>
      </c>
      <c r="I359" s="38"/>
      <c r="J359" s="237"/>
      <c r="L359" s="200"/>
      <c r="O359" s="143"/>
      <c r="W359" s="333"/>
    </row>
    <row r="360" spans="1:35" s="95" customFormat="1" ht="13.5" customHeight="1">
      <c r="A360" s="325" t="s">
        <v>569</v>
      </c>
      <c r="B360" s="35"/>
      <c r="C360" s="35"/>
      <c r="D360" s="36" t="s">
        <v>303</v>
      </c>
      <c r="E360" s="34" t="s">
        <v>20</v>
      </c>
      <c r="F360" s="37">
        <v>17.05</v>
      </c>
      <c r="G360" s="469"/>
      <c r="H360" s="99">
        <f>F360*G360</f>
        <v>0</v>
      </c>
      <c r="I360" s="38"/>
      <c r="J360" s="326"/>
      <c r="K360" s="98"/>
      <c r="L360" s="326"/>
      <c r="M360" s="98"/>
      <c r="N360" s="98"/>
      <c r="O360" s="98"/>
      <c r="P360" s="98"/>
      <c r="Q360" s="98"/>
      <c r="R360" s="98"/>
      <c r="S360" s="98"/>
      <c r="T360" s="98"/>
      <c r="W360" s="326"/>
    </row>
    <row r="361" spans="1:35" s="111" customFormat="1" ht="40.5" customHeight="1">
      <c r="A361" s="145"/>
      <c r="B361" s="39"/>
      <c r="C361" s="10"/>
      <c r="D361" s="36" t="s">
        <v>297</v>
      </c>
      <c r="E361" s="10"/>
      <c r="F361" s="37">
        <f>(0.98+0.69+1.03+0.97+1.15)+(4.85+1.13+0.97)+(0.6+0.79+2.34)</f>
        <v>15.5</v>
      </c>
      <c r="G361" s="146"/>
      <c r="H361" s="146"/>
      <c r="I361" s="97"/>
      <c r="U361" s="95"/>
    </row>
    <row r="362" spans="1:35" s="334" customFormat="1" ht="40.5" customHeight="1">
      <c r="A362" s="328"/>
      <c r="B362" s="329"/>
      <c r="C362" s="36"/>
      <c r="D362" s="36" t="s">
        <v>547</v>
      </c>
      <c r="E362" s="34"/>
      <c r="F362" s="37"/>
      <c r="G362" s="330"/>
      <c r="H362" s="330"/>
      <c r="I362" s="331"/>
      <c r="J362" s="332"/>
      <c r="K362" s="332"/>
      <c r="L362" s="333"/>
      <c r="M362" s="332"/>
      <c r="N362" s="332"/>
      <c r="O362" s="332"/>
      <c r="P362" s="332"/>
      <c r="Q362" s="332"/>
      <c r="R362" s="332"/>
      <c r="S362" s="332"/>
      <c r="T362" s="332"/>
    </row>
    <row r="363" spans="1:35" s="95" customFormat="1" ht="13.5" customHeight="1">
      <c r="A363" s="243"/>
      <c r="B363" s="35"/>
      <c r="C363" s="35"/>
      <c r="D363" s="36" t="s">
        <v>64</v>
      </c>
      <c r="E363" s="35"/>
      <c r="F363" s="37"/>
      <c r="G363" s="244"/>
      <c r="H363" s="146"/>
      <c r="I363" s="38"/>
    </row>
    <row r="364" spans="1:35" s="95" customFormat="1" ht="13.5" customHeight="1">
      <c r="A364" s="145">
        <v>73</v>
      </c>
      <c r="B364" s="10" t="s">
        <v>62</v>
      </c>
      <c r="C364" s="10" t="s">
        <v>344</v>
      </c>
      <c r="D364" s="10" t="s">
        <v>342</v>
      </c>
      <c r="E364" s="10" t="s">
        <v>20</v>
      </c>
      <c r="F364" s="96">
        <f>SUM(F373:F373)</f>
        <v>4.22</v>
      </c>
      <c r="G364" s="323">
        <f>SUM(H367:H372)/F364</f>
        <v>0</v>
      </c>
      <c r="H364" s="146">
        <f>F364*G364</f>
        <v>0</v>
      </c>
      <c r="I364" s="97" t="s">
        <v>262</v>
      </c>
      <c r="J364" s="337"/>
      <c r="K364" s="324"/>
      <c r="L364" s="324"/>
    </row>
    <row r="365" spans="1:35" s="95" customFormat="1" ht="13.5" customHeight="1">
      <c r="A365" s="243"/>
      <c r="B365" s="35"/>
      <c r="C365" s="35"/>
      <c r="D365" s="36" t="s">
        <v>58</v>
      </c>
      <c r="E365" s="35"/>
      <c r="F365" s="37"/>
      <c r="G365" s="244"/>
      <c r="H365" s="146"/>
      <c r="I365" s="38"/>
    </row>
    <row r="366" spans="1:35" s="95" customFormat="1" ht="27" customHeight="1">
      <c r="A366" s="325"/>
      <c r="B366" s="35"/>
      <c r="C366" s="35"/>
      <c r="D366" s="36" t="s">
        <v>346</v>
      </c>
      <c r="E366" s="34"/>
      <c r="F366" s="37"/>
      <c r="G366" s="37"/>
      <c r="H366" s="37"/>
      <c r="I366" s="38"/>
      <c r="J366" s="307"/>
      <c r="K366" s="98"/>
      <c r="L366" s="98"/>
      <c r="M366" s="98"/>
    </row>
    <row r="367" spans="1:35" s="95" customFormat="1" ht="13.5" customHeight="1">
      <c r="A367" s="325" t="s">
        <v>522</v>
      </c>
      <c r="B367" s="35"/>
      <c r="C367" s="35"/>
      <c r="D367" s="36" t="s">
        <v>66</v>
      </c>
      <c r="E367" s="34" t="s">
        <v>20</v>
      </c>
      <c r="F367" s="37">
        <f>F364</f>
        <v>4.22</v>
      </c>
      <c r="G367" s="469"/>
      <c r="H367" s="99">
        <f>F367*G367</f>
        <v>0</v>
      </c>
      <c r="I367" s="38"/>
      <c r="J367" s="200"/>
      <c r="L367" s="200"/>
      <c r="W367" s="326"/>
    </row>
    <row r="368" spans="1:35" s="95" customFormat="1" ht="13.5" customHeight="1">
      <c r="A368" s="325" t="s">
        <v>523</v>
      </c>
      <c r="B368" s="35"/>
      <c r="C368" s="35"/>
      <c r="D368" s="36" t="s">
        <v>118</v>
      </c>
      <c r="E368" s="34" t="s">
        <v>20</v>
      </c>
      <c r="F368" s="37">
        <v>4.6500000000000004</v>
      </c>
      <c r="G368" s="469"/>
      <c r="H368" s="99">
        <f>F368*G368</f>
        <v>0</v>
      </c>
      <c r="I368" s="38"/>
      <c r="J368" s="278"/>
      <c r="V368" s="200"/>
      <c r="X368" s="200"/>
      <c r="AI368" s="326"/>
    </row>
    <row r="369" spans="1:23" s="95" customFormat="1" ht="13.5" customHeight="1">
      <c r="A369" s="325"/>
      <c r="B369" s="35"/>
      <c r="C369" s="35"/>
      <c r="D369" s="36" t="s">
        <v>347</v>
      </c>
      <c r="E369" s="34"/>
      <c r="F369" s="37"/>
      <c r="G369" s="335"/>
      <c r="H369" s="99"/>
      <c r="I369" s="38"/>
      <c r="J369" s="167"/>
      <c r="K369" s="98"/>
      <c r="L369" s="326"/>
      <c r="M369" s="98"/>
      <c r="N369" s="98"/>
      <c r="O369" s="98"/>
      <c r="P369" s="98"/>
      <c r="Q369" s="98"/>
      <c r="R369" s="98"/>
      <c r="S369" s="98"/>
      <c r="T369" s="98"/>
      <c r="W369" s="326"/>
    </row>
    <row r="370" spans="1:23" s="95" customFormat="1" ht="13.5" customHeight="1">
      <c r="A370" s="325" t="s">
        <v>524</v>
      </c>
      <c r="B370" s="35"/>
      <c r="C370" s="35"/>
      <c r="D370" s="36" t="s">
        <v>348</v>
      </c>
      <c r="E370" s="34" t="s">
        <v>20</v>
      </c>
      <c r="F370" s="37">
        <v>4.45</v>
      </c>
      <c r="G370" s="469"/>
      <c r="H370" s="99">
        <f>F370*G370</f>
        <v>0</v>
      </c>
      <c r="I370" s="336"/>
      <c r="J370" s="200"/>
      <c r="L370" s="200"/>
      <c r="W370" s="200"/>
    </row>
    <row r="371" spans="1:23" s="95" customFormat="1" ht="13.5" customHeight="1">
      <c r="A371" s="325" t="s">
        <v>525</v>
      </c>
      <c r="B371" s="35"/>
      <c r="C371" s="35"/>
      <c r="D371" s="36" t="s">
        <v>341</v>
      </c>
      <c r="E371" s="34" t="s">
        <v>20</v>
      </c>
      <c r="F371" s="37">
        <f>F364</f>
        <v>4.22</v>
      </c>
      <c r="G371" s="469"/>
      <c r="H371" s="99">
        <f>F371*G371</f>
        <v>0</v>
      </c>
      <c r="I371" s="336"/>
      <c r="J371" s="200"/>
      <c r="L371" s="200"/>
      <c r="W371" s="200"/>
    </row>
    <row r="372" spans="1:23" s="95" customFormat="1" ht="13.5" customHeight="1">
      <c r="A372" s="325" t="s">
        <v>570</v>
      </c>
      <c r="B372" s="35"/>
      <c r="C372" s="35"/>
      <c r="D372" s="36" t="s">
        <v>340</v>
      </c>
      <c r="E372" s="34" t="s">
        <v>20</v>
      </c>
      <c r="F372" s="37">
        <v>4.6500000000000004</v>
      </c>
      <c r="G372" s="469"/>
      <c r="H372" s="99">
        <f>F372*G372</f>
        <v>0</v>
      </c>
      <c r="I372" s="336"/>
      <c r="J372" s="200"/>
      <c r="L372" s="200"/>
      <c r="W372" s="200"/>
    </row>
    <row r="373" spans="1:23" s="111" customFormat="1" ht="13.5" customHeight="1">
      <c r="A373" s="145"/>
      <c r="B373" s="39"/>
      <c r="C373" s="10"/>
      <c r="D373" s="36" t="s">
        <v>343</v>
      </c>
      <c r="E373" s="10"/>
      <c r="F373" s="37">
        <f>4.22</f>
        <v>4.22</v>
      </c>
      <c r="G373" s="146"/>
      <c r="H373" s="146"/>
      <c r="I373" s="97"/>
      <c r="U373" s="95"/>
    </row>
    <row r="374" spans="1:23" s="334" customFormat="1" ht="27" customHeight="1">
      <c r="A374" s="328"/>
      <c r="B374" s="329"/>
      <c r="C374" s="36"/>
      <c r="D374" s="36" t="s">
        <v>119</v>
      </c>
      <c r="E374" s="34"/>
      <c r="F374" s="37"/>
      <c r="G374" s="330"/>
      <c r="H374" s="330"/>
      <c r="I374" s="331"/>
      <c r="J374" s="332"/>
      <c r="K374" s="332"/>
      <c r="L374" s="333"/>
      <c r="M374" s="332"/>
      <c r="N374" s="332"/>
      <c r="O374" s="332"/>
      <c r="P374" s="332"/>
      <c r="Q374" s="332"/>
      <c r="R374" s="332"/>
      <c r="S374" s="332"/>
      <c r="T374" s="332"/>
    </row>
    <row r="375" spans="1:23" s="95" customFormat="1" ht="13.5" customHeight="1">
      <c r="A375" s="243"/>
      <c r="B375" s="35"/>
      <c r="C375" s="35"/>
      <c r="D375" s="36" t="s">
        <v>64</v>
      </c>
      <c r="E375" s="35"/>
      <c r="F375" s="37"/>
      <c r="G375" s="244"/>
      <c r="H375" s="146"/>
      <c r="I375" s="38"/>
    </row>
    <row r="376" spans="1:23" s="95" customFormat="1" ht="13.5" customHeight="1">
      <c r="A376" s="42">
        <v>74</v>
      </c>
      <c r="B376" s="10">
        <v>776</v>
      </c>
      <c r="C376" s="10" t="s">
        <v>120</v>
      </c>
      <c r="D376" s="10" t="s">
        <v>121</v>
      </c>
      <c r="E376" s="10" t="s">
        <v>20</v>
      </c>
      <c r="F376" s="96">
        <f>SUM(F378:F380)</f>
        <v>404.11</v>
      </c>
      <c r="G376" s="459"/>
      <c r="H376" s="48">
        <f>F376*G376</f>
        <v>0</v>
      </c>
      <c r="I376" s="97" t="s">
        <v>262</v>
      </c>
      <c r="J376" s="307"/>
    </row>
    <row r="377" spans="1:23" s="111" customFormat="1" ht="27" customHeight="1">
      <c r="A377" s="42"/>
      <c r="B377" s="39"/>
      <c r="C377" s="10"/>
      <c r="D377" s="36" t="s">
        <v>265</v>
      </c>
      <c r="E377" s="10"/>
      <c r="F377" s="37"/>
      <c r="G377" s="48"/>
      <c r="H377" s="48"/>
      <c r="I377" s="97"/>
      <c r="J377" s="338"/>
    </row>
    <row r="378" spans="1:23" s="111" customFormat="1" ht="13.5" customHeight="1">
      <c r="A378" s="42"/>
      <c r="B378" s="39"/>
      <c r="C378" s="10"/>
      <c r="D378" s="36" t="s">
        <v>352</v>
      </c>
      <c r="E378" s="10"/>
      <c r="F378" s="37">
        <f>(90.37+1.91)+(60.43+7.14)+(4.22)</f>
        <v>164.07</v>
      </c>
      <c r="G378" s="48"/>
      <c r="H378" s="48"/>
      <c r="I378" s="97"/>
      <c r="J378" s="338"/>
    </row>
    <row r="379" spans="1:23" s="111" customFormat="1" ht="13.5" customHeight="1">
      <c r="A379" s="42"/>
      <c r="B379" s="39"/>
      <c r="C379" s="10"/>
      <c r="D379" s="36" t="s">
        <v>304</v>
      </c>
      <c r="E379" s="10"/>
      <c r="F379" s="37">
        <f>9.29</f>
        <v>9.2899999999999991</v>
      </c>
      <c r="G379" s="48"/>
      <c r="H379" s="48"/>
      <c r="I379" s="339"/>
      <c r="J379" s="338"/>
    </row>
    <row r="380" spans="1:23" s="111" customFormat="1" ht="13.5" customHeight="1">
      <c r="A380" s="42"/>
      <c r="B380" s="39"/>
      <c r="C380" s="10"/>
      <c r="D380" s="36" t="s">
        <v>305</v>
      </c>
      <c r="E380" s="10"/>
      <c r="F380" s="37">
        <f>(215.25+15.5)</f>
        <v>230.75</v>
      </c>
      <c r="G380" s="48"/>
      <c r="H380" s="48"/>
      <c r="I380" s="97"/>
      <c r="J380" s="340"/>
    </row>
    <row r="381" spans="1:23" s="111" customFormat="1" ht="27" customHeight="1">
      <c r="A381" s="42"/>
      <c r="B381" s="39"/>
      <c r="C381" s="10"/>
      <c r="D381" s="36" t="s">
        <v>266</v>
      </c>
      <c r="E381" s="10"/>
      <c r="F381" s="37"/>
      <c r="G381" s="48"/>
      <c r="H381" s="48"/>
      <c r="I381" s="97"/>
      <c r="J381" s="338"/>
    </row>
    <row r="382" spans="1:23" s="111" customFormat="1" ht="13.5" customHeight="1">
      <c r="A382" s="42">
        <v>75</v>
      </c>
      <c r="B382" s="39" t="s">
        <v>62</v>
      </c>
      <c r="C382" s="10">
        <v>776111311</v>
      </c>
      <c r="D382" s="10" t="s">
        <v>67</v>
      </c>
      <c r="E382" s="10" t="s">
        <v>20</v>
      </c>
      <c r="F382" s="96">
        <f>F376</f>
        <v>404.11</v>
      </c>
      <c r="G382" s="459"/>
      <c r="H382" s="48">
        <f>F382*G382</f>
        <v>0</v>
      </c>
      <c r="I382" s="97" t="s">
        <v>254</v>
      </c>
      <c r="J382" s="307"/>
    </row>
    <row r="383" spans="1:23" s="111" customFormat="1" ht="13.5" customHeight="1">
      <c r="A383" s="42">
        <v>76</v>
      </c>
      <c r="B383" s="39" t="s">
        <v>62</v>
      </c>
      <c r="C383" s="10">
        <v>776121112</v>
      </c>
      <c r="D383" s="10" t="s">
        <v>261</v>
      </c>
      <c r="E383" s="10" t="s">
        <v>20</v>
      </c>
      <c r="F383" s="96">
        <f>F376</f>
        <v>404.11</v>
      </c>
      <c r="G383" s="459"/>
      <c r="H383" s="48">
        <f>F383*G383</f>
        <v>0</v>
      </c>
      <c r="I383" s="97" t="s">
        <v>254</v>
      </c>
      <c r="J383" s="307"/>
      <c r="K383" s="341"/>
      <c r="L383" s="282"/>
      <c r="N383" s="283"/>
      <c r="O383" s="284"/>
      <c r="P383" s="95"/>
      <c r="Q383" s="95"/>
      <c r="R383" s="285"/>
    </row>
    <row r="384" spans="1:23" s="111" customFormat="1" ht="27" customHeight="1">
      <c r="A384" s="42">
        <v>77</v>
      </c>
      <c r="B384" s="10">
        <v>776</v>
      </c>
      <c r="C384" s="10" t="s">
        <v>374</v>
      </c>
      <c r="D384" s="10" t="s">
        <v>527</v>
      </c>
      <c r="E384" s="10" t="s">
        <v>32</v>
      </c>
      <c r="F384" s="96">
        <f>SUM(F393:F404)</f>
        <v>170.28000000000003</v>
      </c>
      <c r="G384" s="323">
        <f>SUM(H387:H391)/F384</f>
        <v>0</v>
      </c>
      <c r="H384" s="48">
        <f>F384*G384</f>
        <v>0</v>
      </c>
      <c r="I384" s="97" t="s">
        <v>262</v>
      </c>
      <c r="J384" s="307"/>
      <c r="K384" s="342"/>
      <c r="L384" s="343"/>
      <c r="M384" s="344"/>
      <c r="N384" s="344"/>
      <c r="O384" s="343"/>
      <c r="P384" s="95"/>
      <c r="Q384" s="95"/>
      <c r="R384" s="285"/>
    </row>
    <row r="385" spans="1:23" s="111" customFormat="1" ht="27" customHeight="1">
      <c r="A385" s="42"/>
      <c r="B385" s="10"/>
      <c r="C385" s="10"/>
      <c r="D385" s="36" t="s">
        <v>248</v>
      </c>
      <c r="E385" s="10"/>
      <c r="F385" s="96"/>
      <c r="G385" s="48"/>
      <c r="H385" s="48"/>
      <c r="I385" s="97"/>
      <c r="J385" s="307"/>
      <c r="K385" s="342"/>
      <c r="L385" s="343"/>
      <c r="M385" s="344"/>
      <c r="N385" s="344"/>
      <c r="O385" s="343"/>
      <c r="P385" s="95"/>
      <c r="Q385" s="95"/>
      <c r="R385" s="285"/>
    </row>
    <row r="386" spans="1:23" s="95" customFormat="1" ht="13.5" customHeight="1">
      <c r="A386" s="325"/>
      <c r="B386" s="35"/>
      <c r="C386" s="35"/>
      <c r="D386" s="36" t="s">
        <v>370</v>
      </c>
      <c r="E386" s="34"/>
      <c r="F386" s="37"/>
      <c r="G386" s="335"/>
      <c r="H386" s="99"/>
      <c r="I386" s="38"/>
      <c r="J386" s="167"/>
      <c r="P386" s="200"/>
      <c r="R386" s="98"/>
      <c r="S386" s="98"/>
      <c r="T386" s="98"/>
      <c r="W386" s="326"/>
    </row>
    <row r="387" spans="1:23" s="95" customFormat="1" ht="13.5" customHeight="1">
      <c r="A387" s="325" t="s">
        <v>571</v>
      </c>
      <c r="B387" s="35"/>
      <c r="C387" s="35"/>
      <c r="D387" s="36" t="s">
        <v>371</v>
      </c>
      <c r="E387" s="34" t="s">
        <v>32</v>
      </c>
      <c r="F387" s="37">
        <f>F384</f>
        <v>170.28000000000003</v>
      </c>
      <c r="G387" s="469"/>
      <c r="H387" s="99">
        <f>F387*G387</f>
        <v>0</v>
      </c>
      <c r="I387" s="336"/>
      <c r="J387" s="98"/>
      <c r="K387" s="98"/>
      <c r="L387" s="200"/>
      <c r="P387" s="200"/>
      <c r="Q387" s="200"/>
      <c r="S387" s="98"/>
      <c r="T387" s="98"/>
      <c r="W387" s="200"/>
    </row>
    <row r="388" spans="1:23" s="95" customFormat="1" ht="13.5" customHeight="1">
      <c r="A388" s="325" t="s">
        <v>572</v>
      </c>
      <c r="B388" s="35"/>
      <c r="C388" s="35"/>
      <c r="D388" s="36" t="s">
        <v>372</v>
      </c>
      <c r="E388" s="34" t="s">
        <v>32</v>
      </c>
      <c r="F388" s="37">
        <v>187.35</v>
      </c>
      <c r="G388" s="469"/>
      <c r="H388" s="99">
        <f>F388*G388</f>
        <v>0</v>
      </c>
      <c r="I388" s="336"/>
      <c r="K388" s="237"/>
      <c r="L388" s="345"/>
      <c r="M388" s="344"/>
      <c r="N388" s="338"/>
      <c r="O388" s="111"/>
      <c r="P388" s="111"/>
      <c r="Q388" s="111"/>
      <c r="R388" s="111"/>
      <c r="S388" s="111"/>
      <c r="T388" s="111"/>
      <c r="U388" s="111"/>
      <c r="V388" s="111"/>
      <c r="W388" s="200"/>
    </row>
    <row r="389" spans="1:23" s="95" customFormat="1" ht="13.5" customHeight="1">
      <c r="A389" s="325"/>
      <c r="B389" s="35"/>
      <c r="C389" s="35"/>
      <c r="D389" s="36" t="s">
        <v>369</v>
      </c>
      <c r="E389" s="34"/>
      <c r="F389" s="37"/>
      <c r="G389" s="335"/>
      <c r="H389" s="99"/>
      <c r="I389" s="38"/>
      <c r="J389" s="167"/>
      <c r="K389" s="98"/>
      <c r="L389" s="326"/>
      <c r="M389" s="98"/>
      <c r="N389" s="98"/>
      <c r="O389" s="98"/>
      <c r="P389" s="98"/>
      <c r="Q389" s="98"/>
      <c r="R389" s="98"/>
      <c r="S389" s="98"/>
      <c r="T389" s="98"/>
      <c r="W389" s="326"/>
    </row>
    <row r="390" spans="1:23" s="95" customFormat="1" ht="13.5" customHeight="1">
      <c r="A390" s="325" t="s">
        <v>573</v>
      </c>
      <c r="B390" s="35"/>
      <c r="C390" s="35"/>
      <c r="D390" s="36" t="s">
        <v>373</v>
      </c>
      <c r="E390" s="34" t="s">
        <v>32</v>
      </c>
      <c r="F390" s="37">
        <f>F384</f>
        <v>170.28000000000003</v>
      </c>
      <c r="G390" s="469"/>
      <c r="H390" s="99">
        <f>F390*G390</f>
        <v>0</v>
      </c>
      <c r="I390" s="336"/>
      <c r="J390" s="200"/>
      <c r="L390" s="200"/>
      <c r="P390" s="200"/>
      <c r="W390" s="200"/>
    </row>
    <row r="391" spans="1:23" s="95" customFormat="1" ht="13.5" customHeight="1">
      <c r="A391" s="325" t="s">
        <v>574</v>
      </c>
      <c r="B391" s="35"/>
      <c r="C391" s="35"/>
      <c r="D391" s="36" t="s">
        <v>378</v>
      </c>
      <c r="E391" s="34" t="s">
        <v>20</v>
      </c>
      <c r="F391" s="37">
        <v>9.4</v>
      </c>
      <c r="G391" s="469"/>
      <c r="H391" s="99">
        <f>F391*G391</f>
        <v>0</v>
      </c>
      <c r="I391" s="336"/>
      <c r="J391" s="278"/>
      <c r="L391" s="200"/>
      <c r="W391" s="200"/>
    </row>
    <row r="392" spans="1:23" s="111" customFormat="1" ht="13.5" customHeight="1">
      <c r="A392" s="42"/>
      <c r="B392" s="10"/>
      <c r="C392" s="10"/>
      <c r="D392" s="36" t="s">
        <v>203</v>
      </c>
      <c r="E392" s="10"/>
      <c r="F392" s="96"/>
      <c r="G392" s="48"/>
      <c r="H392" s="48"/>
      <c r="I392" s="97"/>
      <c r="J392" s="307"/>
      <c r="K392" s="342"/>
      <c r="L392" s="343"/>
      <c r="M392" s="344"/>
      <c r="N392" s="344"/>
      <c r="O392" s="343"/>
      <c r="P392" s="95"/>
      <c r="Q392" s="95"/>
      <c r="R392" s="285"/>
    </row>
    <row r="393" spans="1:23" s="111" customFormat="1" ht="13.5" customHeight="1">
      <c r="A393" s="42"/>
      <c r="B393" s="10"/>
      <c r="C393" s="10"/>
      <c r="D393" s="36" t="s">
        <v>225</v>
      </c>
      <c r="E393" s="10"/>
      <c r="F393" s="37">
        <f>(30.85)*1.1</f>
        <v>33.935000000000002</v>
      </c>
      <c r="G393" s="48"/>
      <c r="H393" s="48"/>
      <c r="I393" s="97"/>
      <c r="J393" s="346"/>
      <c r="K393" s="344"/>
      <c r="L393" s="344"/>
      <c r="M393" s="344"/>
      <c r="N393" s="338"/>
    </row>
    <row r="394" spans="1:23" s="111" customFormat="1" ht="13.5" customHeight="1">
      <c r="A394" s="42"/>
      <c r="B394" s="10"/>
      <c r="C394" s="10"/>
      <c r="D394" s="36" t="s">
        <v>358</v>
      </c>
      <c r="E394" s="10"/>
      <c r="F394" s="37">
        <f>(14.3)*1.1</f>
        <v>15.730000000000002</v>
      </c>
      <c r="G394" s="48"/>
      <c r="H394" s="48"/>
      <c r="I394" s="97"/>
      <c r="J394" s="347"/>
      <c r="K394" s="348"/>
      <c r="L394" s="349"/>
      <c r="M394" s="349"/>
      <c r="N394" s="349"/>
      <c r="O394" s="350"/>
    </row>
    <row r="395" spans="1:23" s="111" customFormat="1" ht="13.5" customHeight="1">
      <c r="A395" s="42"/>
      <c r="B395" s="10"/>
      <c r="C395" s="10"/>
      <c r="D395" s="36" t="s">
        <v>226</v>
      </c>
      <c r="E395" s="10"/>
      <c r="F395" s="37">
        <f>(12.05)*1.1</f>
        <v>13.255000000000003</v>
      </c>
      <c r="G395" s="48"/>
      <c r="H395" s="48"/>
      <c r="I395" s="97"/>
      <c r="J395" s="351"/>
      <c r="K395" s="344"/>
      <c r="L395" s="345"/>
      <c r="M395" s="344"/>
      <c r="N395" s="338"/>
    </row>
    <row r="396" spans="1:23" s="111" customFormat="1" ht="13.5" customHeight="1">
      <c r="A396" s="42"/>
      <c r="B396" s="10"/>
      <c r="C396" s="10"/>
      <c r="D396" s="36" t="s">
        <v>227</v>
      </c>
      <c r="E396" s="10"/>
      <c r="F396" s="37">
        <f>(21.05)*1.1</f>
        <v>23.155000000000001</v>
      </c>
      <c r="G396" s="48"/>
      <c r="H396" s="48"/>
      <c r="I396" s="97"/>
      <c r="K396" s="341"/>
      <c r="L396" s="282"/>
      <c r="N396" s="283"/>
      <c r="O396" s="284"/>
      <c r="P396" s="95"/>
      <c r="Q396" s="95"/>
      <c r="R396" s="285"/>
    </row>
    <row r="397" spans="1:23" s="111" customFormat="1" ht="13.5" customHeight="1">
      <c r="A397" s="42"/>
      <c r="B397" s="10"/>
      <c r="C397" s="10"/>
      <c r="D397" s="36" t="s">
        <v>359</v>
      </c>
      <c r="E397" s="10"/>
      <c r="F397" s="37">
        <f>(2.6)*1.1</f>
        <v>2.8600000000000003</v>
      </c>
      <c r="G397" s="48"/>
      <c r="H397" s="48"/>
      <c r="I397" s="97"/>
      <c r="J397" s="342"/>
      <c r="K397" s="344"/>
      <c r="L397" s="345"/>
      <c r="M397" s="344"/>
      <c r="N397" s="338"/>
      <c r="W397" s="200"/>
    </row>
    <row r="398" spans="1:23" s="111" customFormat="1" ht="13.5" customHeight="1">
      <c r="A398" s="42"/>
      <c r="B398" s="10"/>
      <c r="C398" s="10"/>
      <c r="D398" s="36" t="s">
        <v>204</v>
      </c>
      <c r="E398" s="10"/>
      <c r="F398" s="37"/>
      <c r="G398" s="48"/>
      <c r="H398" s="48"/>
      <c r="I398" s="97"/>
      <c r="J398" s="352"/>
      <c r="K398" s="353"/>
      <c r="L398" s="354"/>
      <c r="M398" s="95"/>
      <c r="N398" s="95"/>
      <c r="O398" s="95"/>
      <c r="P398" s="95"/>
      <c r="Q398" s="95"/>
      <c r="R398" s="95"/>
      <c r="S398" s="95"/>
      <c r="T398" s="95"/>
      <c r="U398" s="95"/>
      <c r="V398" s="95"/>
    </row>
    <row r="399" spans="1:23" s="111" customFormat="1" ht="13.5" customHeight="1">
      <c r="A399" s="42"/>
      <c r="B399" s="10"/>
      <c r="C399" s="10"/>
      <c r="D399" s="36" t="s">
        <v>360</v>
      </c>
      <c r="E399" s="10"/>
      <c r="F399" s="37">
        <f>(21.75)*1.1</f>
        <v>23.925000000000001</v>
      </c>
      <c r="G399" s="48"/>
      <c r="H399" s="48"/>
      <c r="I399" s="97"/>
    </row>
    <row r="400" spans="1:23" s="111" customFormat="1" ht="13.5" customHeight="1">
      <c r="A400" s="42"/>
      <c r="B400" s="10"/>
      <c r="C400" s="10"/>
      <c r="D400" s="36" t="s">
        <v>361</v>
      </c>
      <c r="E400" s="10"/>
      <c r="F400" s="37">
        <f>(26.35)*1.1</f>
        <v>28.985000000000003</v>
      </c>
      <c r="G400" s="48"/>
      <c r="H400" s="48"/>
      <c r="I400" s="97"/>
      <c r="J400" s="307"/>
      <c r="K400" s="342"/>
      <c r="L400" s="343"/>
      <c r="M400" s="344"/>
      <c r="N400" s="344"/>
      <c r="O400" s="343"/>
      <c r="P400" s="95"/>
      <c r="Q400" s="95"/>
      <c r="R400" s="285"/>
    </row>
    <row r="401" spans="1:23" s="111" customFormat="1" ht="13.5" customHeight="1">
      <c r="A401" s="42"/>
      <c r="B401" s="10"/>
      <c r="C401" s="10"/>
      <c r="D401" s="36" t="s">
        <v>367</v>
      </c>
      <c r="E401" s="10"/>
      <c r="F401" s="37"/>
      <c r="G401" s="48"/>
      <c r="H401" s="48"/>
      <c r="I401" s="97"/>
      <c r="J401" s="352"/>
      <c r="K401" s="353"/>
      <c r="L401" s="354"/>
      <c r="M401" s="95"/>
      <c r="N401" s="95"/>
      <c r="O401" s="95"/>
      <c r="P401" s="95"/>
      <c r="Q401" s="95"/>
      <c r="R401" s="95"/>
      <c r="S401" s="95"/>
      <c r="T401" s="95"/>
      <c r="U401" s="95"/>
      <c r="V401" s="95"/>
    </row>
    <row r="402" spans="1:23" s="111" customFormat="1" ht="13.5" customHeight="1">
      <c r="A402" s="42"/>
      <c r="B402" s="10"/>
      <c r="C402" s="10"/>
      <c r="D402" s="36" t="s">
        <v>357</v>
      </c>
      <c r="E402" s="10"/>
      <c r="F402" s="37">
        <f>(14.65)*1.1</f>
        <v>16.115000000000002</v>
      </c>
      <c r="G402" s="48"/>
      <c r="H402" s="48"/>
      <c r="I402" s="97"/>
      <c r="J402" s="148"/>
      <c r="K402" s="348"/>
      <c r="L402" s="349"/>
      <c r="M402" s="349"/>
      <c r="N402" s="349"/>
      <c r="O402" s="350"/>
    </row>
    <row r="403" spans="1:23" s="111" customFormat="1" ht="13.5" customHeight="1">
      <c r="A403" s="42"/>
      <c r="B403" s="10"/>
      <c r="C403" s="10"/>
      <c r="D403" s="36" t="s">
        <v>366</v>
      </c>
      <c r="E403" s="10"/>
      <c r="F403" s="37"/>
      <c r="G403" s="48"/>
      <c r="H403" s="48"/>
      <c r="I403" s="97"/>
      <c r="J403" s="352"/>
      <c r="K403" s="353"/>
      <c r="L403" s="354"/>
      <c r="M403" s="95"/>
      <c r="N403" s="95"/>
      <c r="O403" s="95"/>
      <c r="P403" s="95"/>
      <c r="Q403" s="95"/>
      <c r="R403" s="95"/>
      <c r="S403" s="95"/>
      <c r="T403" s="95"/>
      <c r="U403" s="95"/>
      <c r="V403" s="95"/>
    </row>
    <row r="404" spans="1:23" s="111" customFormat="1" ht="13.5" customHeight="1">
      <c r="A404" s="42"/>
      <c r="B404" s="10"/>
      <c r="C404" s="10"/>
      <c r="D404" s="36" t="s">
        <v>365</v>
      </c>
      <c r="E404" s="10"/>
      <c r="F404" s="37">
        <f>(11.2)*1.1</f>
        <v>12.32</v>
      </c>
      <c r="G404" s="48"/>
      <c r="H404" s="48"/>
      <c r="I404" s="97"/>
      <c r="J404" s="148"/>
      <c r="K404" s="348"/>
      <c r="L404" s="349"/>
      <c r="M404" s="349"/>
      <c r="N404" s="349"/>
      <c r="O404" s="350"/>
    </row>
    <row r="405" spans="1:23" s="111" customFormat="1" ht="13.5" customHeight="1">
      <c r="A405" s="42"/>
      <c r="B405" s="10"/>
      <c r="C405" s="10"/>
      <c r="D405" s="36" t="s">
        <v>375</v>
      </c>
      <c r="E405" s="10"/>
      <c r="F405" s="355"/>
      <c r="G405" s="48"/>
      <c r="H405" s="48"/>
      <c r="I405" s="146"/>
      <c r="J405" s="342"/>
      <c r="K405" s="344"/>
      <c r="L405" s="345"/>
      <c r="M405" s="344"/>
      <c r="N405" s="338"/>
    </row>
    <row r="406" spans="1:23" s="111" customFormat="1" ht="13.5" customHeight="1">
      <c r="A406" s="42"/>
      <c r="B406" s="10"/>
      <c r="C406" s="10"/>
      <c r="D406" s="34" t="s">
        <v>377</v>
      </c>
      <c r="E406" s="10"/>
      <c r="F406" s="355"/>
      <c r="G406" s="48"/>
      <c r="H406" s="48"/>
      <c r="I406" s="146"/>
      <c r="J406" s="342"/>
      <c r="K406" s="344"/>
      <c r="L406" s="345"/>
      <c r="M406" s="344"/>
      <c r="N406" s="338"/>
    </row>
    <row r="407" spans="1:23" s="111" customFormat="1" ht="27" customHeight="1">
      <c r="A407" s="42">
        <v>78</v>
      </c>
      <c r="B407" s="10">
        <v>776</v>
      </c>
      <c r="C407" s="10" t="s">
        <v>376</v>
      </c>
      <c r="D407" s="10" t="s">
        <v>526</v>
      </c>
      <c r="E407" s="10" t="s">
        <v>32</v>
      </c>
      <c r="F407" s="96">
        <f>SUM(F416:F418)</f>
        <v>222.09000000000003</v>
      </c>
      <c r="G407" s="323">
        <f>SUM(H410:H414)/F407</f>
        <v>0</v>
      </c>
      <c r="H407" s="48">
        <f>F407*G407</f>
        <v>0</v>
      </c>
      <c r="I407" s="97" t="s">
        <v>262</v>
      </c>
      <c r="J407" s="307"/>
      <c r="K407" s="342"/>
      <c r="L407" s="343"/>
      <c r="M407" s="344"/>
      <c r="N407" s="344"/>
      <c r="O407" s="343"/>
      <c r="P407" s="95"/>
      <c r="Q407" s="95"/>
      <c r="R407" s="285"/>
    </row>
    <row r="408" spans="1:23" s="111" customFormat="1" ht="27" customHeight="1">
      <c r="A408" s="42"/>
      <c r="B408" s="10"/>
      <c r="C408" s="10"/>
      <c r="D408" s="36" t="s">
        <v>379</v>
      </c>
      <c r="E408" s="10"/>
      <c r="F408" s="96"/>
      <c r="G408" s="48"/>
      <c r="H408" s="48"/>
      <c r="I408" s="97"/>
      <c r="J408" s="307"/>
      <c r="K408" s="342"/>
      <c r="L408" s="343"/>
      <c r="M408" s="344"/>
      <c r="N408" s="344"/>
      <c r="O408" s="343"/>
      <c r="P408" s="95"/>
      <c r="Q408" s="95"/>
      <c r="R408" s="285"/>
    </row>
    <row r="409" spans="1:23" s="95" customFormat="1" ht="13.5" customHeight="1">
      <c r="A409" s="325"/>
      <c r="B409" s="35"/>
      <c r="C409" s="35"/>
      <c r="D409" s="36" t="s">
        <v>370</v>
      </c>
      <c r="E409" s="34"/>
      <c r="F409" s="37"/>
      <c r="G409" s="335"/>
      <c r="H409" s="99"/>
      <c r="I409" s="38"/>
      <c r="J409" s="167"/>
      <c r="P409" s="200"/>
      <c r="R409" s="98"/>
      <c r="S409" s="98"/>
      <c r="T409" s="98"/>
      <c r="W409" s="326"/>
    </row>
    <row r="410" spans="1:23" s="95" customFormat="1" ht="13.5" customHeight="1">
      <c r="A410" s="325" t="s">
        <v>575</v>
      </c>
      <c r="B410" s="35"/>
      <c r="C410" s="35"/>
      <c r="D410" s="36" t="s">
        <v>371</v>
      </c>
      <c r="E410" s="34" t="s">
        <v>32</v>
      </c>
      <c r="F410" s="37">
        <f>F407</f>
        <v>222.09000000000003</v>
      </c>
      <c r="G410" s="469"/>
      <c r="H410" s="99">
        <f>F410*G410</f>
        <v>0</v>
      </c>
      <c r="I410" s="336"/>
      <c r="J410" s="98"/>
      <c r="K410" s="98"/>
      <c r="L410" s="200"/>
      <c r="P410" s="200"/>
      <c r="Q410" s="200"/>
      <c r="S410" s="98"/>
      <c r="T410" s="98"/>
      <c r="W410" s="200"/>
    </row>
    <row r="411" spans="1:23" s="95" customFormat="1" ht="13.5" customHeight="1">
      <c r="A411" s="325" t="s">
        <v>576</v>
      </c>
      <c r="B411" s="35"/>
      <c r="C411" s="35"/>
      <c r="D411" s="36" t="s">
        <v>372</v>
      </c>
      <c r="E411" s="34" t="s">
        <v>32</v>
      </c>
      <c r="F411" s="37">
        <v>244.3</v>
      </c>
      <c r="G411" s="469"/>
      <c r="H411" s="99">
        <f>F411*G411</f>
        <v>0</v>
      </c>
      <c r="I411" s="336"/>
      <c r="L411" s="200"/>
      <c r="P411" s="200"/>
      <c r="Q411" s="237"/>
      <c r="W411" s="200"/>
    </row>
    <row r="412" spans="1:23" s="95" customFormat="1" ht="13.5" customHeight="1">
      <c r="A412" s="325"/>
      <c r="B412" s="35"/>
      <c r="C412" s="35"/>
      <c r="D412" s="36" t="s">
        <v>369</v>
      </c>
      <c r="E412" s="34"/>
      <c r="F412" s="37"/>
      <c r="G412" s="335"/>
      <c r="H412" s="99"/>
      <c r="I412" s="38"/>
      <c r="K412" s="98"/>
      <c r="L412" s="326"/>
      <c r="M412" s="98"/>
      <c r="N412" s="98"/>
      <c r="O412" s="98"/>
      <c r="P412" s="98"/>
      <c r="Q412" s="98"/>
      <c r="R412" s="98"/>
      <c r="S412" s="98"/>
      <c r="T412" s="98"/>
      <c r="W412" s="326"/>
    </row>
    <row r="413" spans="1:23" s="95" customFormat="1" ht="13.5" customHeight="1">
      <c r="A413" s="325" t="s">
        <v>577</v>
      </c>
      <c r="B413" s="35"/>
      <c r="C413" s="35"/>
      <c r="D413" s="36" t="s">
        <v>373</v>
      </c>
      <c r="E413" s="34" t="s">
        <v>32</v>
      </c>
      <c r="F413" s="37">
        <f>F407</f>
        <v>222.09000000000003</v>
      </c>
      <c r="G413" s="469"/>
      <c r="H413" s="99">
        <f>F413*G413</f>
        <v>0</v>
      </c>
      <c r="I413" s="336"/>
      <c r="J413" s="200"/>
      <c r="L413" s="200"/>
      <c r="P413" s="200"/>
      <c r="W413" s="200"/>
    </row>
    <row r="414" spans="1:23" s="95" customFormat="1" ht="13.5" customHeight="1">
      <c r="A414" s="325" t="s">
        <v>578</v>
      </c>
      <c r="B414" s="35"/>
      <c r="C414" s="35"/>
      <c r="D414" s="36" t="s">
        <v>380</v>
      </c>
      <c r="E414" s="34" t="s">
        <v>20</v>
      </c>
      <c r="F414" s="37">
        <v>12.3</v>
      </c>
      <c r="G414" s="469"/>
      <c r="H414" s="99">
        <f>F414*G414</f>
        <v>0</v>
      </c>
      <c r="I414" s="336"/>
      <c r="J414" s="278"/>
      <c r="L414" s="200"/>
      <c r="W414" s="200"/>
    </row>
    <row r="415" spans="1:23" s="111" customFormat="1" ht="27" customHeight="1">
      <c r="A415" s="42"/>
      <c r="B415" s="10"/>
      <c r="C415" s="10"/>
      <c r="D415" s="36" t="s">
        <v>368</v>
      </c>
      <c r="E415" s="10"/>
      <c r="F415" s="96"/>
      <c r="G415" s="48"/>
      <c r="H415" s="48"/>
      <c r="I415" s="97"/>
      <c r="J415" s="346"/>
      <c r="K415" s="344"/>
      <c r="L415" s="344"/>
      <c r="M415" s="344"/>
      <c r="N415" s="338"/>
    </row>
    <row r="416" spans="1:23" s="111" customFormat="1" ht="13.5" customHeight="1">
      <c r="A416" s="42"/>
      <c r="B416" s="10"/>
      <c r="C416" s="10"/>
      <c r="D416" s="36" t="s">
        <v>362</v>
      </c>
      <c r="E416" s="10"/>
      <c r="F416" s="37">
        <f>(11.05+14.85+14.6+15.65+14.85+15.9)*1.1</f>
        <v>95.590000000000018</v>
      </c>
      <c r="G416" s="48"/>
      <c r="H416" s="48"/>
      <c r="I416" s="97"/>
      <c r="J416" s="346"/>
      <c r="K416" s="344"/>
      <c r="L416" s="344"/>
      <c r="M416" s="344"/>
      <c r="N416" s="338"/>
    </row>
    <row r="417" spans="1:14" s="111" customFormat="1" ht="13.5" customHeight="1">
      <c r="A417" s="42"/>
      <c r="B417" s="10"/>
      <c r="C417" s="10"/>
      <c r="D417" s="36" t="s">
        <v>363</v>
      </c>
      <c r="E417" s="10"/>
      <c r="F417" s="37">
        <f>(32.15+16.85+15.9)*1.1</f>
        <v>71.390000000000015</v>
      </c>
      <c r="G417" s="48"/>
      <c r="H417" s="48"/>
      <c r="I417" s="97"/>
      <c r="J417" s="346"/>
      <c r="K417" s="344"/>
      <c r="L417" s="344"/>
      <c r="M417" s="344"/>
      <c r="N417" s="338"/>
    </row>
    <row r="418" spans="1:14" s="111" customFormat="1" ht="13.5" customHeight="1">
      <c r="A418" s="42"/>
      <c r="B418" s="10"/>
      <c r="C418" s="10"/>
      <c r="D418" s="36" t="s">
        <v>364</v>
      </c>
      <c r="E418" s="10"/>
      <c r="F418" s="37">
        <f>(18.1+16.6+15.4)*1.1</f>
        <v>55.110000000000007</v>
      </c>
      <c r="G418" s="48"/>
      <c r="H418" s="48"/>
      <c r="I418" s="97"/>
      <c r="J418" s="346"/>
      <c r="K418" s="344"/>
      <c r="L418" s="344"/>
      <c r="M418" s="344"/>
      <c r="N418" s="338"/>
    </row>
    <row r="419" spans="1:14" s="111" customFormat="1" ht="13.5" customHeight="1">
      <c r="A419" s="42"/>
      <c r="B419" s="10"/>
      <c r="C419" s="10"/>
      <c r="D419" s="36" t="s">
        <v>375</v>
      </c>
      <c r="E419" s="10"/>
      <c r="F419" s="355"/>
      <c r="G419" s="48"/>
      <c r="H419" s="48"/>
      <c r="I419" s="146"/>
      <c r="J419" s="342"/>
      <c r="K419" s="344"/>
      <c r="L419" s="345"/>
      <c r="M419" s="344"/>
      <c r="N419" s="338"/>
    </row>
    <row r="420" spans="1:14" s="111" customFormat="1" ht="13.5" customHeight="1">
      <c r="A420" s="42"/>
      <c r="B420" s="10"/>
      <c r="C420" s="10"/>
      <c r="D420" s="34" t="s">
        <v>377</v>
      </c>
      <c r="E420" s="10"/>
      <c r="F420" s="355"/>
      <c r="G420" s="48"/>
      <c r="H420" s="48"/>
      <c r="I420" s="146"/>
      <c r="J420" s="342"/>
      <c r="K420" s="344"/>
      <c r="L420" s="345"/>
      <c r="M420" s="344"/>
      <c r="N420" s="338"/>
    </row>
    <row r="421" spans="1:14" s="95" customFormat="1" ht="13.5" customHeight="1">
      <c r="A421" s="42">
        <v>79</v>
      </c>
      <c r="B421" s="10">
        <v>776</v>
      </c>
      <c r="C421" s="10">
        <v>776991121</v>
      </c>
      <c r="D421" s="10" t="s">
        <v>68</v>
      </c>
      <c r="E421" s="10" t="s">
        <v>20</v>
      </c>
      <c r="F421" s="96">
        <f>SUM(F422:F423)</f>
        <v>404.11</v>
      </c>
      <c r="G421" s="459"/>
      <c r="H421" s="48">
        <f>F421*G421</f>
        <v>0</v>
      </c>
      <c r="I421" s="97" t="s">
        <v>254</v>
      </c>
      <c r="J421" s="356"/>
      <c r="K421" s="354"/>
      <c r="L421" s="354"/>
    </row>
    <row r="422" spans="1:14" s="111" customFormat="1" ht="13.5" customHeight="1">
      <c r="A422" s="42"/>
      <c r="B422" s="10"/>
      <c r="C422" s="10"/>
      <c r="D422" s="36" t="s">
        <v>381</v>
      </c>
      <c r="E422" s="10"/>
      <c r="F422" s="37">
        <f>(90.37+1.91)+(60.43+7.14)+(9.29)+(4.22)</f>
        <v>173.35999999999999</v>
      </c>
      <c r="G422" s="48"/>
      <c r="H422" s="48"/>
      <c r="I422" s="97"/>
      <c r="J422" s="346"/>
      <c r="K422" s="344"/>
      <c r="L422" s="344"/>
      <c r="M422" s="344"/>
      <c r="N422" s="338"/>
    </row>
    <row r="423" spans="1:14" s="111" customFormat="1" ht="13.5" customHeight="1">
      <c r="A423" s="42"/>
      <c r="B423" s="10"/>
      <c r="C423" s="10"/>
      <c r="D423" s="36" t="s">
        <v>382</v>
      </c>
      <c r="E423" s="10"/>
      <c r="F423" s="37">
        <f>(215.25+15.5)</f>
        <v>230.75</v>
      </c>
      <c r="G423" s="48"/>
      <c r="H423" s="48"/>
      <c r="I423" s="97"/>
      <c r="J423" s="346"/>
      <c r="K423" s="344"/>
      <c r="L423" s="344"/>
      <c r="M423" s="344"/>
      <c r="N423" s="338"/>
    </row>
    <row r="424" spans="1:14" s="95" customFormat="1" ht="13.5" customHeight="1">
      <c r="A424" s="42">
        <v>80</v>
      </c>
      <c r="B424" s="10">
        <v>776</v>
      </c>
      <c r="C424" s="10">
        <v>998776202</v>
      </c>
      <c r="D424" s="10" t="s">
        <v>202</v>
      </c>
      <c r="E424" s="10" t="s">
        <v>49</v>
      </c>
      <c r="F424" s="96">
        <v>0.38</v>
      </c>
      <c r="G424" s="459"/>
      <c r="H424" s="48">
        <f>F424*G424</f>
        <v>0</v>
      </c>
      <c r="I424" s="97" t="s">
        <v>254</v>
      </c>
      <c r="J424" s="356"/>
      <c r="K424" s="354"/>
      <c r="L424" s="354"/>
    </row>
    <row r="425" spans="1:14" s="111" customFormat="1" ht="13.5" customHeight="1">
      <c r="A425" s="42">
        <v>81</v>
      </c>
      <c r="B425" s="10" t="s">
        <v>45</v>
      </c>
      <c r="C425" s="10" t="s">
        <v>59</v>
      </c>
      <c r="D425" s="10" t="s">
        <v>60</v>
      </c>
      <c r="E425" s="10" t="s">
        <v>31</v>
      </c>
      <c r="F425" s="96">
        <f>F426</f>
        <v>20</v>
      </c>
      <c r="G425" s="459"/>
      <c r="H425" s="48">
        <f>F425*G425</f>
        <v>0</v>
      </c>
      <c r="I425" s="97" t="s">
        <v>254</v>
      </c>
    </row>
    <row r="426" spans="1:14" s="95" customFormat="1" ht="13.5" customHeight="1">
      <c r="A426" s="117"/>
      <c r="B426" s="35"/>
      <c r="C426" s="35"/>
      <c r="D426" s="36" t="s">
        <v>201</v>
      </c>
      <c r="E426" s="35"/>
      <c r="F426" s="37">
        <v>20</v>
      </c>
      <c r="G426" s="47"/>
      <c r="H426" s="48"/>
      <c r="I426" s="38"/>
    </row>
    <row r="427" spans="1:14" s="95" customFormat="1" ht="27" customHeight="1">
      <c r="A427" s="117"/>
      <c r="B427" s="35"/>
      <c r="C427" s="35"/>
      <c r="D427" s="36" t="s">
        <v>71</v>
      </c>
      <c r="E427" s="35"/>
      <c r="F427" s="37"/>
      <c r="G427" s="47"/>
      <c r="H427" s="48"/>
      <c r="I427" s="38"/>
      <c r="J427" s="168"/>
      <c r="K427" s="357"/>
      <c r="L427" s="357"/>
      <c r="M427" s="357"/>
    </row>
    <row r="428" spans="1:14" ht="13.5" customHeight="1">
      <c r="A428" s="120"/>
      <c r="B428" s="87"/>
      <c r="C428" s="87">
        <v>784</v>
      </c>
      <c r="D428" s="87" t="s">
        <v>72</v>
      </c>
      <c r="E428" s="87"/>
      <c r="F428" s="174"/>
      <c r="G428" s="90"/>
      <c r="H428" s="90">
        <f>SUM(H429:H498)</f>
        <v>0</v>
      </c>
      <c r="I428" s="97"/>
      <c r="J428" s="358"/>
    </row>
    <row r="429" spans="1:14" ht="13.5" customHeight="1">
      <c r="A429" s="42">
        <v>82</v>
      </c>
      <c r="B429" s="10">
        <v>784</v>
      </c>
      <c r="C429" s="10">
        <v>784111001</v>
      </c>
      <c r="D429" s="10" t="s">
        <v>79</v>
      </c>
      <c r="E429" s="10" t="s">
        <v>20</v>
      </c>
      <c r="F429" s="48">
        <f>SUM(F432:F442)</f>
        <v>1724.3219999999999</v>
      </c>
      <c r="G429" s="459"/>
      <c r="H429" s="48">
        <f>F429*G429</f>
        <v>0</v>
      </c>
      <c r="I429" s="97" t="s">
        <v>254</v>
      </c>
      <c r="J429" s="162"/>
    </row>
    <row r="430" spans="1:14" ht="13.5" customHeight="1">
      <c r="A430" s="42"/>
      <c r="B430" s="10"/>
      <c r="C430" s="10"/>
      <c r="D430" s="34" t="s">
        <v>80</v>
      </c>
      <c r="E430" s="10"/>
      <c r="F430" s="10"/>
      <c r="G430" s="48"/>
      <c r="H430" s="48"/>
      <c r="I430" s="97"/>
    </row>
    <row r="431" spans="1:14" ht="13.5" customHeight="1">
      <c r="A431" s="42"/>
      <c r="B431" s="10"/>
      <c r="C431" s="10"/>
      <c r="D431" s="34" t="s">
        <v>138</v>
      </c>
      <c r="E431" s="10"/>
      <c r="F431" s="10"/>
      <c r="G431" s="48"/>
      <c r="H431" s="48"/>
      <c r="I431" s="97"/>
      <c r="J431" s="359"/>
    </row>
    <row r="432" spans="1:14" ht="13.5" customHeight="1">
      <c r="A432" s="42"/>
      <c r="B432" s="10"/>
      <c r="C432" s="10"/>
      <c r="D432" s="34" t="s">
        <v>391</v>
      </c>
      <c r="E432" s="10"/>
      <c r="F432" s="37">
        <f>314.45</f>
        <v>314.45</v>
      </c>
      <c r="G432" s="48"/>
      <c r="H432" s="48"/>
      <c r="I432" s="97"/>
      <c r="J432" s="360"/>
    </row>
    <row r="433" spans="1:33" ht="13.5" customHeight="1">
      <c r="A433" s="42"/>
      <c r="B433" s="10"/>
      <c r="C433" s="10"/>
      <c r="D433" s="34" t="s">
        <v>390</v>
      </c>
      <c r="E433" s="10"/>
      <c r="F433" s="37">
        <f>(403.98-7.07)</f>
        <v>396.91</v>
      </c>
      <c r="G433" s="48"/>
      <c r="H433" s="48"/>
      <c r="I433" s="97"/>
      <c r="J433" s="360"/>
    </row>
    <row r="434" spans="1:33" ht="27" customHeight="1">
      <c r="A434" s="42"/>
      <c r="B434" s="10"/>
      <c r="C434" s="10"/>
      <c r="D434" s="34" t="s">
        <v>389</v>
      </c>
      <c r="E434" s="10"/>
      <c r="F434" s="37">
        <f>(25.594)</f>
        <v>25.594000000000001</v>
      </c>
      <c r="G434" s="48"/>
      <c r="H434" s="48"/>
      <c r="I434" s="97"/>
      <c r="J434" s="271"/>
    </row>
    <row r="435" spans="1:33" ht="13.5" customHeight="1">
      <c r="A435" s="42"/>
      <c r="B435" s="10"/>
      <c r="C435" s="10"/>
      <c r="D435" s="34" t="s">
        <v>461</v>
      </c>
      <c r="E435" s="10"/>
      <c r="F435" s="37">
        <f>(22.81)</f>
        <v>22.81</v>
      </c>
      <c r="G435" s="48"/>
      <c r="H435" s="48"/>
      <c r="I435" s="97"/>
      <c r="J435" s="271"/>
    </row>
    <row r="436" spans="1:33" ht="13.5" customHeight="1">
      <c r="A436" s="42"/>
      <c r="B436" s="10"/>
      <c r="C436" s="10"/>
      <c r="D436" s="34" t="s">
        <v>383</v>
      </c>
      <c r="E436" s="10"/>
      <c r="F436" s="37">
        <f>((8.04+2.01)+(4+408.805))*2</f>
        <v>845.71</v>
      </c>
      <c r="G436" s="48"/>
      <c r="H436" s="48"/>
      <c r="I436" s="97"/>
      <c r="J436" s="361"/>
    </row>
    <row r="437" spans="1:33" ht="13.5" customHeight="1">
      <c r="A437" s="42"/>
      <c r="B437" s="10"/>
      <c r="C437" s="10"/>
      <c r="D437" s="34" t="s">
        <v>384</v>
      </c>
      <c r="E437" s="10"/>
      <c r="F437" s="37">
        <v>1.33</v>
      </c>
      <c r="G437" s="48"/>
      <c r="H437" s="48"/>
      <c r="I437" s="97"/>
      <c r="J437" s="271"/>
    </row>
    <row r="438" spans="1:33" ht="13.5" customHeight="1">
      <c r="A438" s="42"/>
      <c r="B438" s="10"/>
      <c r="C438" s="10"/>
      <c r="D438" s="34" t="s">
        <v>385</v>
      </c>
      <c r="E438" s="10"/>
      <c r="F438" s="37">
        <f>(27.636)</f>
        <v>27.635999999999999</v>
      </c>
      <c r="G438" s="48"/>
      <c r="H438" s="48"/>
      <c r="I438" s="97"/>
      <c r="J438" s="162"/>
    </row>
    <row r="439" spans="1:33" ht="13.5" customHeight="1">
      <c r="A439" s="42"/>
      <c r="B439" s="10"/>
      <c r="C439" s="10"/>
      <c r="D439" s="34" t="s">
        <v>386</v>
      </c>
      <c r="E439" s="10"/>
      <c r="F439" s="37">
        <f>(26.082)+(13.97+9.24)</f>
        <v>49.292000000000002</v>
      </c>
      <c r="G439" s="48"/>
      <c r="H439" s="48"/>
      <c r="I439" s="97"/>
      <c r="J439" s="196"/>
    </row>
    <row r="440" spans="1:33" ht="13.5" customHeight="1">
      <c r="A440" s="42"/>
      <c r="B440" s="10"/>
      <c r="C440" s="10"/>
      <c r="D440" s="34" t="s">
        <v>387</v>
      </c>
      <c r="E440" s="10"/>
      <c r="F440" s="37">
        <f>(33.52)</f>
        <v>33.520000000000003</v>
      </c>
      <c r="G440" s="48"/>
      <c r="H440" s="48"/>
      <c r="I440" s="97"/>
      <c r="J440" s="196"/>
    </row>
    <row r="441" spans="1:33" ht="13.5" customHeight="1">
      <c r="A441" s="42"/>
      <c r="B441" s="10"/>
      <c r="C441" s="10"/>
      <c r="D441" s="34" t="s">
        <v>161</v>
      </c>
      <c r="E441" s="10"/>
      <c r="F441" s="37"/>
      <c r="G441" s="48"/>
      <c r="H441" s="48"/>
      <c r="I441" s="97"/>
      <c r="J441" s="136"/>
      <c r="K441" s="95"/>
      <c r="L441" s="95"/>
      <c r="M441" s="95"/>
      <c r="N441" s="95"/>
      <c r="O441" s="95"/>
      <c r="P441" s="95"/>
      <c r="Q441" s="95"/>
      <c r="R441" s="95"/>
      <c r="S441" s="95"/>
      <c r="T441" s="95"/>
      <c r="U441" s="95"/>
      <c r="V441" s="95"/>
      <c r="W441" s="95"/>
      <c r="X441" s="95"/>
      <c r="Y441" s="95"/>
      <c r="Z441" s="95"/>
      <c r="AA441" s="95"/>
      <c r="AB441" s="95"/>
      <c r="AC441" s="95"/>
      <c r="AD441" s="95"/>
      <c r="AE441" s="95"/>
      <c r="AF441" s="95"/>
      <c r="AG441" s="95"/>
    </row>
    <row r="442" spans="1:33" s="95" customFormat="1" ht="13.5" customHeight="1">
      <c r="A442" s="120"/>
      <c r="B442" s="87"/>
      <c r="C442" s="121"/>
      <c r="D442" s="131" t="s">
        <v>245</v>
      </c>
      <c r="E442" s="121"/>
      <c r="F442" s="135">
        <f>(7.07)</f>
        <v>7.07</v>
      </c>
      <c r="G442" s="123"/>
      <c r="H442" s="123"/>
      <c r="I442" s="38"/>
      <c r="J442" s="362"/>
      <c r="K442" s="74"/>
      <c r="L442" s="74"/>
      <c r="M442" s="74"/>
      <c r="N442" s="74"/>
      <c r="O442" s="74"/>
      <c r="P442" s="74"/>
      <c r="Q442" s="74"/>
      <c r="R442" s="74"/>
      <c r="S442" s="74"/>
      <c r="T442" s="74"/>
      <c r="U442" s="74"/>
      <c r="V442" s="74"/>
      <c r="W442" s="74"/>
      <c r="X442" s="74"/>
      <c r="Y442" s="74"/>
      <c r="Z442" s="74"/>
      <c r="AA442" s="74"/>
      <c r="AB442" s="74"/>
      <c r="AC442" s="74"/>
      <c r="AD442" s="74"/>
      <c r="AE442" s="74"/>
      <c r="AF442" s="74"/>
      <c r="AG442" s="74"/>
    </row>
    <row r="443" spans="1:33" ht="13.5" customHeight="1">
      <c r="A443" s="42">
        <v>83</v>
      </c>
      <c r="B443" s="10">
        <v>784</v>
      </c>
      <c r="C443" s="10">
        <v>784121001</v>
      </c>
      <c r="D443" s="10" t="s">
        <v>107</v>
      </c>
      <c r="E443" s="10" t="s">
        <v>20</v>
      </c>
      <c r="F443" s="96">
        <f>SUM(F444:F446)</f>
        <v>718.43000000000006</v>
      </c>
      <c r="G443" s="459"/>
      <c r="H443" s="48">
        <f>F443*G443</f>
        <v>0</v>
      </c>
      <c r="I443" s="97" t="s">
        <v>254</v>
      </c>
      <c r="J443" s="363"/>
    </row>
    <row r="444" spans="1:33" ht="13.5" customHeight="1">
      <c r="A444" s="42"/>
      <c r="B444" s="10"/>
      <c r="C444" s="10"/>
      <c r="D444" s="34" t="s">
        <v>392</v>
      </c>
      <c r="E444" s="10"/>
      <c r="F444" s="37">
        <f>(314.45)</f>
        <v>314.45</v>
      </c>
      <c r="G444" s="48"/>
      <c r="H444" s="48"/>
      <c r="I444" s="97"/>
    </row>
    <row r="445" spans="1:33" ht="13.5" customHeight="1">
      <c r="A445" s="42"/>
      <c r="B445" s="10"/>
      <c r="C445" s="10"/>
      <c r="D445" s="34" t="s">
        <v>393</v>
      </c>
      <c r="E445" s="10"/>
      <c r="F445" s="37">
        <f>(396.91)</f>
        <v>396.91</v>
      </c>
      <c r="G445" s="48"/>
      <c r="H445" s="48"/>
      <c r="I445" s="97"/>
    </row>
    <row r="446" spans="1:33" ht="13.5" customHeight="1">
      <c r="A446" s="42"/>
      <c r="B446" s="10"/>
      <c r="C446" s="10"/>
      <c r="D446" s="34" t="s">
        <v>232</v>
      </c>
      <c r="E446" s="10"/>
      <c r="F446" s="37">
        <f>(7.07)</f>
        <v>7.07</v>
      </c>
      <c r="G446" s="48"/>
      <c r="H446" s="48"/>
      <c r="I446" s="97"/>
      <c r="J446" s="364"/>
    </row>
    <row r="447" spans="1:33" ht="13.5" customHeight="1">
      <c r="A447" s="42"/>
      <c r="B447" s="10"/>
      <c r="C447" s="10"/>
      <c r="D447" s="34" t="s">
        <v>102</v>
      </c>
      <c r="E447" s="10"/>
      <c r="F447" s="37"/>
      <c r="G447" s="48"/>
      <c r="H447" s="48"/>
      <c r="I447" s="97"/>
    </row>
    <row r="448" spans="1:33" ht="13.5" customHeight="1">
      <c r="A448" s="42">
        <v>84</v>
      </c>
      <c r="B448" s="10">
        <v>784</v>
      </c>
      <c r="C448" s="10">
        <v>784121011</v>
      </c>
      <c r="D448" s="10" t="s">
        <v>108</v>
      </c>
      <c r="E448" s="10" t="s">
        <v>20</v>
      </c>
      <c r="F448" s="96">
        <f>SUM(F450:F452)</f>
        <v>718.43000000000006</v>
      </c>
      <c r="G448" s="459"/>
      <c r="H448" s="48">
        <f>F448*G448</f>
        <v>0</v>
      </c>
      <c r="I448" s="97" t="s">
        <v>254</v>
      </c>
      <c r="J448" s="360"/>
    </row>
    <row r="449" spans="1:13" ht="13.5" customHeight="1">
      <c r="A449" s="42"/>
      <c r="B449" s="10"/>
      <c r="C449" s="10"/>
      <c r="D449" s="34" t="s">
        <v>109</v>
      </c>
      <c r="E449" s="10"/>
      <c r="F449" s="74"/>
      <c r="G449" s="48"/>
      <c r="H449" s="48"/>
      <c r="I449" s="97"/>
    </row>
    <row r="450" spans="1:13" ht="13.5" customHeight="1">
      <c r="A450" s="42"/>
      <c r="B450" s="10"/>
      <c r="C450" s="10"/>
      <c r="D450" s="34" t="s">
        <v>392</v>
      </c>
      <c r="E450" s="10"/>
      <c r="F450" s="37">
        <f>(314.45)</f>
        <v>314.45</v>
      </c>
      <c r="G450" s="48"/>
      <c r="H450" s="48"/>
      <c r="I450" s="97"/>
    </row>
    <row r="451" spans="1:13" ht="13.5" customHeight="1">
      <c r="A451" s="42"/>
      <c r="B451" s="10"/>
      <c r="C451" s="10"/>
      <c r="D451" s="34" t="s">
        <v>393</v>
      </c>
      <c r="E451" s="10"/>
      <c r="F451" s="37">
        <f>(396.91)</f>
        <v>396.91</v>
      </c>
      <c r="G451" s="48"/>
      <c r="H451" s="48"/>
      <c r="I451" s="97"/>
    </row>
    <row r="452" spans="1:13" ht="13.5" customHeight="1">
      <c r="A452" s="42"/>
      <c r="B452" s="10"/>
      <c r="C452" s="10"/>
      <c r="D452" s="34" t="s">
        <v>232</v>
      </c>
      <c r="E452" s="10"/>
      <c r="F452" s="37">
        <f>(7.07)</f>
        <v>7.07</v>
      </c>
      <c r="G452" s="48"/>
      <c r="H452" s="48"/>
      <c r="I452" s="97"/>
      <c r="J452" s="365"/>
    </row>
    <row r="453" spans="1:13" ht="13.5" customHeight="1">
      <c r="A453" s="42">
        <v>85</v>
      </c>
      <c r="B453" s="10">
        <v>784</v>
      </c>
      <c r="C453" s="10">
        <v>784171001</v>
      </c>
      <c r="D453" s="10" t="s">
        <v>110</v>
      </c>
      <c r="E453" s="10" t="s">
        <v>32</v>
      </c>
      <c r="F453" s="96">
        <f>SUM(F455:F456)</f>
        <v>550</v>
      </c>
      <c r="G453" s="459"/>
      <c r="H453" s="48">
        <f>F453*G453</f>
        <v>0</v>
      </c>
      <c r="I453" s="97" t="s">
        <v>254</v>
      </c>
    </row>
    <row r="454" spans="1:13" ht="13.5" customHeight="1">
      <c r="A454" s="42"/>
      <c r="B454" s="10"/>
      <c r="C454" s="10"/>
      <c r="D454" s="34" t="s">
        <v>103</v>
      </c>
      <c r="E454" s="10"/>
      <c r="F454" s="74"/>
      <c r="G454" s="48"/>
      <c r="H454" s="48"/>
      <c r="I454" s="97"/>
      <c r="J454" s="366"/>
      <c r="K454" s="366"/>
      <c r="L454" s="366"/>
    </row>
    <row r="455" spans="1:13" ht="13.5" customHeight="1">
      <c r="A455" s="42"/>
      <c r="B455" s="10"/>
      <c r="C455" s="10"/>
      <c r="D455" s="34" t="s">
        <v>207</v>
      </c>
      <c r="E455" s="10"/>
      <c r="F455" s="355">
        <v>400</v>
      </c>
      <c r="G455" s="48"/>
      <c r="H455" s="48"/>
      <c r="I455" s="97"/>
      <c r="J455" s="366"/>
    </row>
    <row r="456" spans="1:13" ht="13.5" customHeight="1">
      <c r="A456" s="42"/>
      <c r="B456" s="10"/>
      <c r="C456" s="10"/>
      <c r="D456" s="34" t="s">
        <v>205</v>
      </c>
      <c r="E456" s="10"/>
      <c r="F456" s="355">
        <v>150</v>
      </c>
      <c r="G456" s="48"/>
      <c r="H456" s="48"/>
      <c r="I456" s="97"/>
      <c r="J456" s="79"/>
    </row>
    <row r="457" spans="1:13" ht="13.5" customHeight="1">
      <c r="A457" s="42"/>
      <c r="B457" s="10"/>
      <c r="C457" s="10"/>
      <c r="D457" s="34" t="s">
        <v>104</v>
      </c>
      <c r="E457" s="10"/>
      <c r="F457" s="355"/>
      <c r="G457" s="48"/>
      <c r="H457" s="48"/>
      <c r="I457" s="97"/>
      <c r="J457" s="79"/>
    </row>
    <row r="458" spans="1:13" ht="13.5" customHeight="1">
      <c r="A458" s="304">
        <v>86</v>
      </c>
      <c r="B458" s="301">
        <v>581</v>
      </c>
      <c r="C458" s="301">
        <v>58124850</v>
      </c>
      <c r="D458" s="301" t="s">
        <v>105</v>
      </c>
      <c r="E458" s="301" t="s">
        <v>32</v>
      </c>
      <c r="F458" s="367">
        <f>SUM(F459:F460)</f>
        <v>577.5</v>
      </c>
      <c r="G458" s="466"/>
      <c r="H458" s="302">
        <f>F458*G458</f>
        <v>0</v>
      </c>
      <c r="I458" s="303" t="s">
        <v>254</v>
      </c>
    </row>
    <row r="459" spans="1:13" ht="13.5" customHeight="1">
      <c r="A459" s="304"/>
      <c r="B459" s="301"/>
      <c r="C459" s="301"/>
      <c r="D459" s="368" t="s">
        <v>208</v>
      </c>
      <c r="E459" s="301"/>
      <c r="F459" s="369">
        <f>(400)*1.05</f>
        <v>420</v>
      </c>
      <c r="G459" s="302"/>
      <c r="H459" s="302"/>
      <c r="I459" s="303"/>
      <c r="J459" s="370"/>
    </row>
    <row r="460" spans="1:13" ht="13.5" customHeight="1">
      <c r="A460" s="304"/>
      <c r="B460" s="301"/>
      <c r="C460" s="301"/>
      <c r="D460" s="368" t="s">
        <v>206</v>
      </c>
      <c r="E460" s="301"/>
      <c r="F460" s="369">
        <f>(150)*1.05</f>
        <v>157.5</v>
      </c>
      <c r="G460" s="302"/>
      <c r="H460" s="302"/>
      <c r="I460" s="303"/>
      <c r="J460" s="371"/>
    </row>
    <row r="461" spans="1:13" ht="13.5" customHeight="1">
      <c r="A461" s="42">
        <v>87</v>
      </c>
      <c r="B461" s="10">
        <v>784</v>
      </c>
      <c r="C461" s="10">
        <v>784171111</v>
      </c>
      <c r="D461" s="10" t="s">
        <v>82</v>
      </c>
      <c r="E461" s="10" t="s">
        <v>20</v>
      </c>
      <c r="F461" s="96">
        <f>SUM(F463:F463)</f>
        <v>350</v>
      </c>
      <c r="G461" s="459"/>
      <c r="H461" s="48">
        <f>F461*G461</f>
        <v>0</v>
      </c>
      <c r="I461" s="97" t="s">
        <v>254</v>
      </c>
      <c r="J461" s="184"/>
      <c r="K461" s="184"/>
      <c r="L461" s="184"/>
      <c r="M461" s="184"/>
    </row>
    <row r="462" spans="1:13" ht="13.5" customHeight="1">
      <c r="A462" s="42"/>
      <c r="B462" s="10"/>
      <c r="C462" s="10"/>
      <c r="D462" s="34" t="s">
        <v>83</v>
      </c>
      <c r="E462" s="10"/>
      <c r="F462" s="74"/>
      <c r="G462" s="48"/>
      <c r="H462" s="48"/>
      <c r="I462" s="97"/>
      <c r="J462" s="366"/>
    </row>
    <row r="463" spans="1:13" ht="13.5" customHeight="1">
      <c r="A463" s="42"/>
      <c r="B463" s="10"/>
      <c r="C463" s="10"/>
      <c r="D463" s="34" t="s">
        <v>209</v>
      </c>
      <c r="E463" s="10"/>
      <c r="F463" s="37">
        <v>350</v>
      </c>
      <c r="G463" s="48"/>
      <c r="H463" s="48"/>
      <c r="I463" s="97"/>
      <c r="J463" s="79"/>
    </row>
    <row r="464" spans="1:13" ht="13.5" customHeight="1">
      <c r="A464" s="42"/>
      <c r="B464" s="10"/>
      <c r="C464" s="10"/>
      <c r="D464" s="34" t="s">
        <v>104</v>
      </c>
      <c r="E464" s="10"/>
      <c r="F464" s="355"/>
      <c r="G464" s="48"/>
      <c r="H464" s="48"/>
      <c r="I464" s="97"/>
      <c r="J464" s="371"/>
    </row>
    <row r="465" spans="1:194" ht="13.5" customHeight="1">
      <c r="A465" s="42">
        <v>88</v>
      </c>
      <c r="B465" s="10">
        <v>784</v>
      </c>
      <c r="C465" s="10">
        <v>784171121</v>
      </c>
      <c r="D465" s="10" t="s">
        <v>84</v>
      </c>
      <c r="E465" s="10" t="s">
        <v>20</v>
      </c>
      <c r="F465" s="96">
        <f>SUM(F467:F467)</f>
        <v>200</v>
      </c>
      <c r="G465" s="459"/>
      <c r="H465" s="48">
        <f>F465*G465</f>
        <v>0</v>
      </c>
      <c r="I465" s="97" t="s">
        <v>254</v>
      </c>
      <c r="J465" s="79"/>
    </row>
    <row r="466" spans="1:194" ht="13.5" customHeight="1">
      <c r="A466" s="42"/>
      <c r="B466" s="10"/>
      <c r="C466" s="10"/>
      <c r="D466" s="34" t="s">
        <v>85</v>
      </c>
      <c r="E466" s="10"/>
      <c r="F466" s="74"/>
      <c r="G466" s="48"/>
      <c r="H466" s="48"/>
      <c r="I466" s="97"/>
      <c r="J466" s="366"/>
    </row>
    <row r="467" spans="1:194" ht="13.5" customHeight="1">
      <c r="A467" s="42"/>
      <c r="B467" s="10"/>
      <c r="C467" s="10"/>
      <c r="D467" s="34" t="s">
        <v>210</v>
      </c>
      <c r="E467" s="10"/>
      <c r="F467" s="37">
        <v>200</v>
      </c>
      <c r="G467" s="48"/>
      <c r="H467" s="48"/>
      <c r="I467" s="97"/>
      <c r="J467" s="79"/>
    </row>
    <row r="468" spans="1:194" ht="13.5" customHeight="1">
      <c r="A468" s="42"/>
      <c r="B468" s="10"/>
      <c r="C468" s="10"/>
      <c r="D468" s="34" t="s">
        <v>104</v>
      </c>
      <c r="E468" s="10"/>
      <c r="F468" s="355"/>
      <c r="G468" s="48"/>
      <c r="H468" s="48"/>
      <c r="I468" s="97"/>
      <c r="J468" s="372"/>
      <c r="K468" s="373"/>
      <c r="L468" s="374"/>
      <c r="M468" s="344"/>
      <c r="N468" s="375"/>
      <c r="O468" s="376"/>
      <c r="P468" s="95"/>
      <c r="Q468" s="95"/>
      <c r="R468" s="285"/>
      <c r="S468" s="111"/>
      <c r="T468" s="111"/>
      <c r="U468" s="111"/>
      <c r="V468" s="111"/>
      <c r="W468" s="111"/>
      <c r="X468" s="111"/>
      <c r="Y468" s="111"/>
      <c r="Z468" s="111"/>
      <c r="AA468" s="111"/>
      <c r="AB468" s="111"/>
      <c r="AC468" s="111"/>
      <c r="AD468" s="111"/>
      <c r="AE468" s="111"/>
      <c r="AF468" s="111"/>
      <c r="AG468" s="111"/>
    </row>
    <row r="469" spans="1:194" s="377" customFormat="1" ht="13.5" customHeight="1">
      <c r="A469" s="304">
        <v>89</v>
      </c>
      <c r="B469" s="301">
        <v>581</v>
      </c>
      <c r="C469" s="301">
        <v>58124842</v>
      </c>
      <c r="D469" s="301" t="s">
        <v>86</v>
      </c>
      <c r="E469" s="301" t="s">
        <v>20</v>
      </c>
      <c r="F469" s="367">
        <f>SUM(F471:F473)</f>
        <v>577.5</v>
      </c>
      <c r="G469" s="466"/>
      <c r="H469" s="302">
        <f>F469*G469</f>
        <v>0</v>
      </c>
      <c r="I469" s="303" t="s">
        <v>254</v>
      </c>
      <c r="J469" s="111"/>
      <c r="K469" s="111"/>
      <c r="L469" s="111"/>
      <c r="M469" s="111"/>
      <c r="N469" s="111"/>
      <c r="O469" s="111"/>
      <c r="P469" s="111"/>
      <c r="Q469" s="111"/>
      <c r="R469" s="111"/>
      <c r="S469" s="111"/>
      <c r="T469" s="111"/>
      <c r="U469" s="111"/>
      <c r="V469" s="111"/>
      <c r="W469" s="111"/>
      <c r="X469" s="111"/>
      <c r="Y469" s="111"/>
      <c r="Z469" s="111"/>
      <c r="AA469" s="111"/>
      <c r="AB469" s="111"/>
      <c r="AC469" s="111"/>
      <c r="AD469" s="111"/>
      <c r="AE469" s="111"/>
      <c r="AF469" s="111"/>
      <c r="AG469" s="111"/>
      <c r="AH469" s="111"/>
      <c r="AI469" s="111"/>
      <c r="AJ469" s="111"/>
      <c r="AK469" s="111"/>
      <c r="AL469" s="111"/>
      <c r="AM469" s="111"/>
      <c r="AN469" s="111"/>
      <c r="AO469" s="111"/>
      <c r="AP469" s="111"/>
      <c r="AQ469" s="111"/>
      <c r="AR469" s="111"/>
      <c r="AS469" s="111"/>
      <c r="AT469" s="111"/>
      <c r="AU469" s="111"/>
      <c r="AV469" s="111"/>
      <c r="AW469" s="111"/>
      <c r="AX469" s="111"/>
      <c r="AY469" s="111"/>
      <c r="AZ469" s="111"/>
      <c r="BA469" s="111"/>
      <c r="BB469" s="111"/>
      <c r="BC469" s="111"/>
      <c r="BD469" s="111"/>
      <c r="BE469" s="111"/>
      <c r="BF469" s="111"/>
      <c r="BG469" s="111"/>
      <c r="BH469" s="111"/>
      <c r="BI469" s="111"/>
      <c r="BJ469" s="111"/>
      <c r="BK469" s="111"/>
      <c r="BL469" s="111"/>
      <c r="BM469" s="111"/>
      <c r="BN469" s="111"/>
      <c r="BO469" s="111"/>
      <c r="BP469" s="111"/>
      <c r="BQ469" s="111"/>
      <c r="BR469" s="111"/>
      <c r="BS469" s="111"/>
      <c r="BT469" s="111"/>
      <c r="BU469" s="111"/>
      <c r="BV469" s="111"/>
      <c r="BW469" s="111"/>
      <c r="BX469" s="111"/>
      <c r="BY469" s="111"/>
      <c r="BZ469" s="111"/>
      <c r="CA469" s="111"/>
      <c r="CB469" s="111"/>
      <c r="CC469" s="111"/>
      <c r="CD469" s="111"/>
      <c r="CE469" s="111"/>
      <c r="CF469" s="111"/>
      <c r="CG469" s="111"/>
      <c r="CH469" s="111"/>
      <c r="CI469" s="111"/>
      <c r="CJ469" s="111"/>
      <c r="CK469" s="111"/>
      <c r="CL469" s="111"/>
      <c r="CM469" s="111"/>
      <c r="CN469" s="111"/>
      <c r="CO469" s="111"/>
      <c r="CP469" s="111"/>
      <c r="CQ469" s="111"/>
      <c r="CR469" s="111"/>
      <c r="CS469" s="111"/>
      <c r="CT469" s="111"/>
      <c r="CU469" s="111"/>
      <c r="CV469" s="111"/>
      <c r="CW469" s="111"/>
      <c r="CX469" s="111"/>
      <c r="CY469" s="111"/>
      <c r="CZ469" s="111"/>
      <c r="DA469" s="111"/>
      <c r="DB469" s="111"/>
      <c r="DC469" s="111"/>
      <c r="DD469" s="111"/>
      <c r="DE469" s="111"/>
      <c r="DF469" s="111"/>
      <c r="DG469" s="111"/>
      <c r="DH469" s="111"/>
      <c r="DI469" s="111"/>
      <c r="DJ469" s="111"/>
      <c r="DK469" s="111"/>
      <c r="DL469" s="111"/>
      <c r="DM469" s="111"/>
      <c r="DN469" s="111"/>
      <c r="DO469" s="111"/>
      <c r="DP469" s="111"/>
      <c r="DQ469" s="111"/>
      <c r="DR469" s="111"/>
      <c r="DS469" s="111"/>
      <c r="DT469" s="111"/>
      <c r="DU469" s="111"/>
      <c r="DV469" s="111"/>
      <c r="DW469" s="111"/>
      <c r="DX469" s="111"/>
      <c r="DY469" s="111"/>
      <c r="DZ469" s="111"/>
      <c r="EA469" s="111"/>
      <c r="EB469" s="111"/>
      <c r="EC469" s="111"/>
      <c r="ED469" s="111"/>
      <c r="EE469" s="111"/>
      <c r="EF469" s="111"/>
      <c r="EG469" s="111"/>
      <c r="EH469" s="111"/>
      <c r="EI469" s="111"/>
      <c r="EJ469" s="111"/>
      <c r="EK469" s="111"/>
      <c r="EL469" s="111"/>
      <c r="EM469" s="111"/>
      <c r="EN469" s="111"/>
      <c r="EO469" s="111"/>
      <c r="EP469" s="111"/>
      <c r="EQ469" s="111"/>
      <c r="ER469" s="111"/>
      <c r="ES469" s="111"/>
      <c r="ET469" s="111"/>
      <c r="EU469" s="111"/>
      <c r="EV469" s="111"/>
      <c r="EW469" s="111"/>
      <c r="EX469" s="111"/>
      <c r="EY469" s="111"/>
      <c r="EZ469" s="111"/>
      <c r="FA469" s="111"/>
      <c r="FB469" s="111"/>
      <c r="FC469" s="111"/>
      <c r="FD469" s="111"/>
      <c r="FE469" s="111"/>
      <c r="FF469" s="111"/>
      <c r="FG469" s="111"/>
      <c r="FH469" s="111"/>
      <c r="FI469" s="111"/>
      <c r="FJ469" s="111"/>
      <c r="FK469" s="111"/>
      <c r="FL469" s="111"/>
      <c r="FM469" s="111"/>
      <c r="FN469" s="111"/>
      <c r="FO469" s="111"/>
      <c r="FP469" s="111"/>
      <c r="FQ469" s="111"/>
      <c r="FR469" s="111"/>
      <c r="FS469" s="111"/>
      <c r="FT469" s="111"/>
      <c r="FU469" s="111"/>
      <c r="FV469" s="111"/>
      <c r="FW469" s="111"/>
      <c r="FX469" s="111"/>
      <c r="FY469" s="111"/>
      <c r="FZ469" s="111"/>
      <c r="GA469" s="111"/>
      <c r="GB469" s="111"/>
      <c r="GC469" s="111"/>
      <c r="GD469" s="111"/>
      <c r="GE469" s="111"/>
      <c r="GF469" s="111"/>
      <c r="GG469" s="111"/>
      <c r="GH469" s="111"/>
      <c r="GI469" s="111"/>
      <c r="GJ469" s="111"/>
      <c r="GK469" s="111"/>
      <c r="GL469" s="111"/>
    </row>
    <row r="470" spans="1:194" s="377" customFormat="1" ht="13.5" customHeight="1">
      <c r="A470" s="304"/>
      <c r="B470" s="301"/>
      <c r="C470" s="301"/>
      <c r="D470" s="368" t="s">
        <v>87</v>
      </c>
      <c r="E470" s="301"/>
      <c r="F470" s="111"/>
      <c r="G470" s="302"/>
      <c r="H470" s="302"/>
      <c r="I470" s="303"/>
      <c r="J470" s="378"/>
      <c r="K470" s="111"/>
      <c r="L470" s="111"/>
      <c r="M470" s="111"/>
      <c r="N470" s="111"/>
      <c r="O470" s="111"/>
      <c r="P470" s="111"/>
      <c r="Q470" s="111"/>
      <c r="R470" s="111"/>
      <c r="S470" s="111"/>
      <c r="T470" s="111"/>
      <c r="U470" s="111"/>
      <c r="V470" s="111"/>
      <c r="W470" s="111"/>
      <c r="X470" s="111"/>
      <c r="Y470" s="111"/>
      <c r="Z470" s="111"/>
      <c r="AA470" s="111"/>
      <c r="AB470" s="111"/>
      <c r="AC470" s="111"/>
      <c r="AD470" s="111"/>
      <c r="AE470" s="111"/>
      <c r="AF470" s="111"/>
      <c r="AG470" s="111"/>
      <c r="AH470" s="111"/>
      <c r="AI470" s="111"/>
      <c r="AJ470" s="111"/>
      <c r="AK470" s="111"/>
      <c r="AL470" s="111"/>
      <c r="AM470" s="111"/>
      <c r="AN470" s="111"/>
      <c r="AO470" s="111"/>
      <c r="AP470" s="111"/>
      <c r="AQ470" s="111"/>
      <c r="AR470" s="111"/>
      <c r="AS470" s="111"/>
      <c r="AT470" s="111"/>
      <c r="AU470" s="111"/>
      <c r="AV470" s="111"/>
      <c r="AW470" s="111"/>
      <c r="AX470" s="111"/>
      <c r="AY470" s="111"/>
      <c r="AZ470" s="111"/>
      <c r="BA470" s="111"/>
      <c r="BB470" s="111"/>
      <c r="BC470" s="111"/>
      <c r="BD470" s="111"/>
      <c r="BE470" s="111"/>
      <c r="BF470" s="111"/>
      <c r="BG470" s="111"/>
      <c r="BH470" s="111"/>
      <c r="BI470" s="111"/>
      <c r="BJ470" s="111"/>
      <c r="BK470" s="111"/>
      <c r="BL470" s="111"/>
      <c r="BM470" s="111"/>
      <c r="BN470" s="111"/>
      <c r="BO470" s="111"/>
      <c r="BP470" s="111"/>
      <c r="BQ470" s="111"/>
      <c r="BR470" s="111"/>
      <c r="BS470" s="111"/>
      <c r="BT470" s="111"/>
      <c r="BU470" s="111"/>
      <c r="BV470" s="111"/>
      <c r="BW470" s="111"/>
      <c r="BX470" s="111"/>
      <c r="BY470" s="111"/>
      <c r="BZ470" s="111"/>
      <c r="CA470" s="111"/>
      <c r="CB470" s="111"/>
      <c r="CC470" s="111"/>
      <c r="CD470" s="111"/>
      <c r="CE470" s="111"/>
      <c r="CF470" s="111"/>
      <c r="CG470" s="111"/>
      <c r="CH470" s="111"/>
      <c r="CI470" s="111"/>
      <c r="CJ470" s="111"/>
      <c r="CK470" s="111"/>
      <c r="CL470" s="111"/>
      <c r="CM470" s="111"/>
      <c r="CN470" s="111"/>
      <c r="CO470" s="111"/>
      <c r="CP470" s="111"/>
      <c r="CQ470" s="111"/>
      <c r="CR470" s="111"/>
      <c r="CS470" s="111"/>
      <c r="CT470" s="111"/>
      <c r="CU470" s="111"/>
      <c r="CV470" s="111"/>
      <c r="CW470" s="111"/>
      <c r="CX470" s="111"/>
      <c r="CY470" s="111"/>
      <c r="CZ470" s="111"/>
      <c r="DA470" s="111"/>
      <c r="DB470" s="111"/>
      <c r="DC470" s="111"/>
      <c r="DD470" s="111"/>
      <c r="DE470" s="111"/>
      <c r="DF470" s="111"/>
      <c r="DG470" s="111"/>
      <c r="DH470" s="111"/>
      <c r="DI470" s="111"/>
      <c r="DJ470" s="111"/>
      <c r="DK470" s="111"/>
      <c r="DL470" s="111"/>
      <c r="DM470" s="111"/>
      <c r="DN470" s="111"/>
      <c r="DO470" s="111"/>
      <c r="DP470" s="111"/>
      <c r="DQ470" s="111"/>
      <c r="DR470" s="111"/>
      <c r="DS470" s="111"/>
      <c r="DT470" s="111"/>
      <c r="DU470" s="111"/>
      <c r="DV470" s="111"/>
      <c r="DW470" s="111"/>
      <c r="DX470" s="111"/>
      <c r="DY470" s="111"/>
      <c r="DZ470" s="111"/>
      <c r="EA470" s="111"/>
      <c r="EB470" s="111"/>
      <c r="EC470" s="111"/>
      <c r="ED470" s="111"/>
      <c r="EE470" s="111"/>
      <c r="EF470" s="111"/>
      <c r="EG470" s="111"/>
      <c r="EH470" s="111"/>
      <c r="EI470" s="111"/>
      <c r="EJ470" s="111"/>
      <c r="EK470" s="111"/>
      <c r="EL470" s="111"/>
      <c r="EM470" s="111"/>
      <c r="EN470" s="111"/>
      <c r="EO470" s="111"/>
      <c r="EP470" s="111"/>
      <c r="EQ470" s="111"/>
      <c r="ER470" s="111"/>
      <c r="ES470" s="111"/>
      <c r="ET470" s="111"/>
      <c r="EU470" s="111"/>
      <c r="EV470" s="111"/>
      <c r="EW470" s="111"/>
      <c r="EX470" s="111"/>
      <c r="EY470" s="111"/>
      <c r="EZ470" s="111"/>
      <c r="FA470" s="111"/>
      <c r="FB470" s="111"/>
      <c r="FC470" s="111"/>
      <c r="FD470" s="111"/>
      <c r="FE470" s="111"/>
      <c r="FF470" s="111"/>
      <c r="FG470" s="111"/>
      <c r="FH470" s="111"/>
      <c r="FI470" s="111"/>
      <c r="FJ470" s="111"/>
      <c r="FK470" s="111"/>
      <c r="FL470" s="111"/>
      <c r="FM470" s="111"/>
      <c r="FN470" s="111"/>
      <c r="FO470" s="111"/>
      <c r="FP470" s="111"/>
      <c r="FQ470" s="111"/>
      <c r="FR470" s="111"/>
      <c r="FS470" s="111"/>
      <c r="FT470" s="111"/>
      <c r="FU470" s="111"/>
      <c r="FV470" s="111"/>
      <c r="FW470" s="111"/>
      <c r="FX470" s="111"/>
      <c r="FY470" s="111"/>
      <c r="FZ470" s="111"/>
      <c r="GA470" s="111"/>
      <c r="GB470" s="111"/>
      <c r="GC470" s="111"/>
      <c r="GD470" s="111"/>
      <c r="GE470" s="111"/>
      <c r="GF470" s="111"/>
      <c r="GG470" s="111"/>
      <c r="GH470" s="111"/>
      <c r="GI470" s="111"/>
      <c r="GJ470" s="111"/>
      <c r="GK470" s="111"/>
      <c r="GL470" s="111"/>
    </row>
    <row r="471" spans="1:194" s="377" customFormat="1" ht="13.5" customHeight="1">
      <c r="A471" s="304"/>
      <c r="B471" s="301"/>
      <c r="C471" s="301"/>
      <c r="D471" s="368" t="s">
        <v>211</v>
      </c>
      <c r="E471" s="301"/>
      <c r="F471" s="37">
        <f>(350)*1.05</f>
        <v>367.5</v>
      </c>
      <c r="G471" s="302"/>
      <c r="H471" s="302"/>
      <c r="I471" s="303"/>
      <c r="J471" s="111"/>
      <c r="K471" s="111"/>
      <c r="L471" s="111"/>
      <c r="M471" s="111"/>
      <c r="N471" s="111"/>
      <c r="O471" s="111"/>
      <c r="P471" s="111"/>
      <c r="Q471" s="111"/>
      <c r="R471" s="111"/>
      <c r="S471" s="111"/>
      <c r="T471" s="111"/>
      <c r="U471" s="111"/>
      <c r="V471" s="111"/>
      <c r="W471" s="111"/>
      <c r="X471" s="111"/>
      <c r="Y471" s="111"/>
      <c r="Z471" s="111"/>
      <c r="AA471" s="111"/>
      <c r="AB471" s="111"/>
      <c r="AC471" s="111"/>
      <c r="AD471" s="111"/>
      <c r="AE471" s="111"/>
      <c r="AF471" s="111"/>
      <c r="AG471" s="111"/>
      <c r="AH471" s="111"/>
      <c r="AI471" s="111"/>
      <c r="AJ471" s="111"/>
      <c r="AK471" s="111"/>
      <c r="AL471" s="111"/>
      <c r="AM471" s="111"/>
      <c r="AN471" s="111"/>
      <c r="AO471" s="111"/>
      <c r="AP471" s="111"/>
      <c r="AQ471" s="111"/>
      <c r="AR471" s="111"/>
      <c r="AS471" s="111"/>
      <c r="AT471" s="111"/>
      <c r="AU471" s="111"/>
      <c r="AV471" s="111"/>
      <c r="AW471" s="111"/>
      <c r="AX471" s="111"/>
      <c r="AY471" s="111"/>
      <c r="AZ471" s="111"/>
      <c r="BA471" s="111"/>
      <c r="BB471" s="111"/>
      <c r="BC471" s="111"/>
      <c r="BD471" s="111"/>
      <c r="BE471" s="111"/>
      <c r="BF471" s="111"/>
      <c r="BG471" s="111"/>
      <c r="BH471" s="111"/>
      <c r="BI471" s="111"/>
      <c r="BJ471" s="111"/>
      <c r="BK471" s="111"/>
      <c r="BL471" s="111"/>
      <c r="BM471" s="111"/>
      <c r="BN471" s="111"/>
      <c r="BO471" s="111"/>
      <c r="BP471" s="111"/>
      <c r="BQ471" s="111"/>
      <c r="BR471" s="111"/>
      <c r="BS471" s="111"/>
      <c r="BT471" s="111"/>
      <c r="BU471" s="111"/>
      <c r="BV471" s="111"/>
      <c r="BW471" s="111"/>
      <c r="BX471" s="111"/>
      <c r="BY471" s="111"/>
      <c r="BZ471" s="111"/>
      <c r="CA471" s="111"/>
      <c r="CB471" s="111"/>
      <c r="CC471" s="111"/>
      <c r="CD471" s="111"/>
      <c r="CE471" s="111"/>
      <c r="CF471" s="111"/>
      <c r="CG471" s="111"/>
      <c r="CH471" s="111"/>
      <c r="CI471" s="111"/>
      <c r="CJ471" s="111"/>
      <c r="CK471" s="111"/>
      <c r="CL471" s="111"/>
      <c r="CM471" s="111"/>
      <c r="CN471" s="111"/>
      <c r="CO471" s="111"/>
      <c r="CP471" s="111"/>
      <c r="CQ471" s="111"/>
      <c r="CR471" s="111"/>
      <c r="CS471" s="111"/>
      <c r="CT471" s="111"/>
      <c r="CU471" s="111"/>
      <c r="CV471" s="111"/>
      <c r="CW471" s="111"/>
      <c r="CX471" s="111"/>
      <c r="CY471" s="111"/>
      <c r="CZ471" s="111"/>
      <c r="DA471" s="111"/>
      <c r="DB471" s="111"/>
      <c r="DC471" s="111"/>
      <c r="DD471" s="111"/>
      <c r="DE471" s="111"/>
      <c r="DF471" s="111"/>
      <c r="DG471" s="111"/>
      <c r="DH471" s="111"/>
      <c r="DI471" s="111"/>
      <c r="DJ471" s="111"/>
      <c r="DK471" s="111"/>
      <c r="DL471" s="111"/>
      <c r="DM471" s="111"/>
      <c r="DN471" s="111"/>
      <c r="DO471" s="111"/>
      <c r="DP471" s="111"/>
      <c r="DQ471" s="111"/>
      <c r="DR471" s="111"/>
      <c r="DS471" s="111"/>
      <c r="DT471" s="111"/>
      <c r="DU471" s="111"/>
      <c r="DV471" s="111"/>
      <c r="DW471" s="111"/>
      <c r="DX471" s="111"/>
      <c r="DY471" s="111"/>
      <c r="DZ471" s="111"/>
      <c r="EA471" s="111"/>
      <c r="EB471" s="111"/>
      <c r="EC471" s="111"/>
      <c r="ED471" s="111"/>
      <c r="EE471" s="111"/>
      <c r="EF471" s="111"/>
      <c r="EG471" s="111"/>
      <c r="EH471" s="111"/>
      <c r="EI471" s="111"/>
      <c r="EJ471" s="111"/>
      <c r="EK471" s="111"/>
      <c r="EL471" s="111"/>
      <c r="EM471" s="111"/>
      <c r="EN471" s="111"/>
      <c r="EO471" s="111"/>
      <c r="EP471" s="111"/>
      <c r="EQ471" s="111"/>
      <c r="ER471" s="111"/>
      <c r="ES471" s="111"/>
      <c r="ET471" s="111"/>
      <c r="EU471" s="111"/>
      <c r="EV471" s="111"/>
      <c r="EW471" s="111"/>
      <c r="EX471" s="111"/>
      <c r="EY471" s="111"/>
      <c r="EZ471" s="111"/>
      <c r="FA471" s="111"/>
      <c r="FB471" s="111"/>
      <c r="FC471" s="111"/>
      <c r="FD471" s="111"/>
      <c r="FE471" s="111"/>
      <c r="FF471" s="111"/>
      <c r="FG471" s="111"/>
      <c r="FH471" s="111"/>
      <c r="FI471" s="111"/>
      <c r="FJ471" s="111"/>
      <c r="FK471" s="111"/>
      <c r="FL471" s="111"/>
      <c r="FM471" s="111"/>
      <c r="FN471" s="111"/>
      <c r="FO471" s="111"/>
      <c r="FP471" s="111"/>
      <c r="FQ471" s="111"/>
      <c r="FR471" s="111"/>
      <c r="FS471" s="111"/>
      <c r="FT471" s="111"/>
      <c r="FU471" s="111"/>
      <c r="FV471" s="111"/>
      <c r="FW471" s="111"/>
      <c r="FX471" s="111"/>
      <c r="FY471" s="111"/>
      <c r="FZ471" s="111"/>
      <c r="GA471" s="111"/>
      <c r="GB471" s="111"/>
      <c r="GC471" s="111"/>
      <c r="GD471" s="111"/>
      <c r="GE471" s="111"/>
      <c r="GF471" s="111"/>
      <c r="GG471" s="111"/>
      <c r="GH471" s="111"/>
      <c r="GI471" s="111"/>
      <c r="GJ471" s="111"/>
      <c r="GK471" s="111"/>
      <c r="GL471" s="111"/>
    </row>
    <row r="472" spans="1:194" s="377" customFormat="1" ht="13.5" customHeight="1">
      <c r="A472" s="304"/>
      <c r="B472" s="301"/>
      <c r="C472" s="301"/>
      <c r="D472" s="368" t="s">
        <v>88</v>
      </c>
      <c r="E472" s="301"/>
      <c r="F472" s="111"/>
      <c r="G472" s="302"/>
      <c r="H472" s="302"/>
      <c r="I472" s="303"/>
      <c r="J472" s="111"/>
      <c r="K472" s="111"/>
      <c r="L472" s="111"/>
      <c r="M472" s="111"/>
      <c r="N472" s="111"/>
      <c r="O472" s="111"/>
      <c r="P472" s="111"/>
      <c r="Q472" s="111"/>
      <c r="R472" s="111"/>
      <c r="S472" s="111"/>
      <c r="T472" s="111"/>
      <c r="U472" s="111"/>
      <c r="V472" s="111"/>
      <c r="W472" s="111"/>
      <c r="X472" s="111"/>
      <c r="Y472" s="111"/>
      <c r="Z472" s="111"/>
      <c r="AA472" s="111"/>
      <c r="AB472" s="111"/>
      <c r="AC472" s="111"/>
      <c r="AD472" s="111"/>
      <c r="AE472" s="111"/>
      <c r="AF472" s="111"/>
      <c r="AG472" s="111"/>
      <c r="AH472" s="111"/>
      <c r="AI472" s="111"/>
      <c r="AJ472" s="111"/>
      <c r="AK472" s="111"/>
      <c r="AL472" s="111"/>
      <c r="AM472" s="111"/>
      <c r="AN472" s="111"/>
      <c r="AO472" s="111"/>
      <c r="AP472" s="111"/>
      <c r="AQ472" s="111"/>
      <c r="AR472" s="111"/>
      <c r="AS472" s="111"/>
      <c r="AT472" s="111"/>
      <c r="AU472" s="111"/>
      <c r="AV472" s="111"/>
      <c r="AW472" s="111"/>
      <c r="AX472" s="111"/>
      <c r="AY472" s="111"/>
      <c r="AZ472" s="111"/>
      <c r="BA472" s="111"/>
      <c r="BB472" s="111"/>
      <c r="BC472" s="111"/>
      <c r="BD472" s="111"/>
      <c r="BE472" s="111"/>
      <c r="BF472" s="111"/>
      <c r="BG472" s="111"/>
      <c r="BH472" s="111"/>
      <c r="BI472" s="111"/>
      <c r="BJ472" s="111"/>
      <c r="BK472" s="111"/>
      <c r="BL472" s="111"/>
      <c r="BM472" s="111"/>
      <c r="BN472" s="111"/>
      <c r="BO472" s="111"/>
      <c r="BP472" s="111"/>
      <c r="BQ472" s="111"/>
      <c r="BR472" s="111"/>
      <c r="BS472" s="111"/>
      <c r="BT472" s="111"/>
      <c r="BU472" s="111"/>
      <c r="BV472" s="111"/>
      <c r="BW472" s="111"/>
      <c r="BX472" s="111"/>
      <c r="BY472" s="111"/>
      <c r="BZ472" s="111"/>
      <c r="CA472" s="111"/>
      <c r="CB472" s="111"/>
      <c r="CC472" s="111"/>
      <c r="CD472" s="111"/>
      <c r="CE472" s="111"/>
      <c r="CF472" s="111"/>
      <c r="CG472" s="111"/>
      <c r="CH472" s="111"/>
      <c r="CI472" s="111"/>
      <c r="CJ472" s="111"/>
      <c r="CK472" s="111"/>
      <c r="CL472" s="111"/>
      <c r="CM472" s="111"/>
      <c r="CN472" s="111"/>
      <c r="CO472" s="111"/>
      <c r="CP472" s="111"/>
      <c r="CQ472" s="111"/>
      <c r="CR472" s="111"/>
      <c r="CS472" s="111"/>
      <c r="CT472" s="111"/>
      <c r="CU472" s="111"/>
      <c r="CV472" s="111"/>
      <c r="CW472" s="111"/>
      <c r="CX472" s="111"/>
      <c r="CY472" s="111"/>
      <c r="CZ472" s="111"/>
      <c r="DA472" s="111"/>
      <c r="DB472" s="111"/>
      <c r="DC472" s="111"/>
      <c r="DD472" s="111"/>
      <c r="DE472" s="111"/>
      <c r="DF472" s="111"/>
      <c r="DG472" s="111"/>
      <c r="DH472" s="111"/>
      <c r="DI472" s="111"/>
      <c r="DJ472" s="111"/>
      <c r="DK472" s="111"/>
      <c r="DL472" s="111"/>
      <c r="DM472" s="111"/>
      <c r="DN472" s="111"/>
      <c r="DO472" s="111"/>
      <c r="DP472" s="111"/>
      <c r="DQ472" s="111"/>
      <c r="DR472" s="111"/>
      <c r="DS472" s="111"/>
      <c r="DT472" s="111"/>
      <c r="DU472" s="111"/>
      <c r="DV472" s="111"/>
      <c r="DW472" s="111"/>
      <c r="DX472" s="111"/>
      <c r="DY472" s="111"/>
      <c r="DZ472" s="111"/>
      <c r="EA472" s="111"/>
      <c r="EB472" s="111"/>
      <c r="EC472" s="111"/>
      <c r="ED472" s="111"/>
      <c r="EE472" s="111"/>
      <c r="EF472" s="111"/>
      <c r="EG472" s="111"/>
      <c r="EH472" s="111"/>
      <c r="EI472" s="111"/>
      <c r="EJ472" s="111"/>
      <c r="EK472" s="111"/>
      <c r="EL472" s="111"/>
      <c r="EM472" s="111"/>
      <c r="EN472" s="111"/>
      <c r="EO472" s="111"/>
      <c r="EP472" s="111"/>
      <c r="EQ472" s="111"/>
      <c r="ER472" s="111"/>
      <c r="ES472" s="111"/>
      <c r="ET472" s="111"/>
      <c r="EU472" s="111"/>
      <c r="EV472" s="111"/>
      <c r="EW472" s="111"/>
      <c r="EX472" s="111"/>
      <c r="EY472" s="111"/>
      <c r="EZ472" s="111"/>
      <c r="FA472" s="111"/>
      <c r="FB472" s="111"/>
      <c r="FC472" s="111"/>
      <c r="FD472" s="111"/>
      <c r="FE472" s="111"/>
      <c r="FF472" s="111"/>
      <c r="FG472" s="111"/>
      <c r="FH472" s="111"/>
      <c r="FI472" s="111"/>
      <c r="FJ472" s="111"/>
      <c r="FK472" s="111"/>
      <c r="FL472" s="111"/>
      <c r="FM472" s="111"/>
      <c r="FN472" s="111"/>
      <c r="FO472" s="111"/>
      <c r="FP472" s="111"/>
      <c r="FQ472" s="111"/>
      <c r="FR472" s="111"/>
      <c r="FS472" s="111"/>
      <c r="FT472" s="111"/>
      <c r="FU472" s="111"/>
      <c r="FV472" s="111"/>
      <c r="FW472" s="111"/>
      <c r="FX472" s="111"/>
      <c r="FY472" s="111"/>
      <c r="FZ472" s="111"/>
      <c r="GA472" s="111"/>
      <c r="GB472" s="111"/>
      <c r="GC472" s="111"/>
      <c r="GD472" s="111"/>
      <c r="GE472" s="111"/>
      <c r="GF472" s="111"/>
      <c r="GG472" s="111"/>
      <c r="GH472" s="111"/>
      <c r="GI472" s="111"/>
      <c r="GJ472" s="111"/>
      <c r="GK472" s="111"/>
      <c r="GL472" s="111"/>
    </row>
    <row r="473" spans="1:194" s="377" customFormat="1" ht="13.5" customHeight="1">
      <c r="A473" s="304"/>
      <c r="B473" s="301"/>
      <c r="C473" s="301"/>
      <c r="D473" s="368" t="s">
        <v>212</v>
      </c>
      <c r="E473" s="301"/>
      <c r="F473" s="37">
        <f>(200)*1.05</f>
        <v>210</v>
      </c>
      <c r="G473" s="302"/>
      <c r="H473" s="302"/>
      <c r="I473" s="303"/>
      <c r="J473" s="196"/>
      <c r="K473" s="74"/>
      <c r="L473" s="74"/>
      <c r="M473" s="74"/>
      <c r="N473" s="74"/>
      <c r="O473" s="74"/>
      <c r="P473" s="74"/>
      <c r="Q473" s="74"/>
      <c r="R473" s="74"/>
      <c r="S473" s="74"/>
      <c r="T473" s="74"/>
      <c r="U473" s="74"/>
      <c r="V473" s="74"/>
      <c r="W473" s="74"/>
      <c r="X473" s="74"/>
      <c r="Y473" s="74"/>
      <c r="Z473" s="74"/>
      <c r="AA473" s="74"/>
      <c r="AB473" s="74"/>
      <c r="AC473" s="74"/>
      <c r="AD473" s="74"/>
      <c r="AE473" s="74"/>
      <c r="AF473" s="74"/>
      <c r="AG473" s="74"/>
      <c r="AH473" s="111"/>
      <c r="AI473" s="111"/>
      <c r="AJ473" s="111"/>
      <c r="AK473" s="111"/>
      <c r="AL473" s="111"/>
      <c r="AM473" s="111"/>
      <c r="AN473" s="111"/>
      <c r="AO473" s="111"/>
      <c r="AP473" s="111"/>
      <c r="AQ473" s="111"/>
      <c r="AR473" s="111"/>
      <c r="AS473" s="111"/>
      <c r="AT473" s="111"/>
      <c r="AU473" s="111"/>
      <c r="AV473" s="111"/>
      <c r="AW473" s="111"/>
      <c r="AX473" s="111"/>
      <c r="AY473" s="111"/>
      <c r="AZ473" s="111"/>
      <c r="BA473" s="111"/>
      <c r="BB473" s="111"/>
      <c r="BC473" s="111"/>
      <c r="BD473" s="111"/>
      <c r="BE473" s="111"/>
      <c r="BF473" s="111"/>
      <c r="BG473" s="111"/>
      <c r="BH473" s="111"/>
      <c r="BI473" s="111"/>
      <c r="BJ473" s="111"/>
      <c r="BK473" s="111"/>
      <c r="BL473" s="111"/>
      <c r="BM473" s="111"/>
      <c r="BN473" s="111"/>
      <c r="BO473" s="111"/>
      <c r="BP473" s="111"/>
      <c r="BQ473" s="111"/>
      <c r="BR473" s="111"/>
      <c r="BS473" s="111"/>
      <c r="BT473" s="111"/>
      <c r="BU473" s="111"/>
      <c r="BV473" s="111"/>
      <c r="BW473" s="111"/>
      <c r="BX473" s="111"/>
      <c r="BY473" s="111"/>
      <c r="BZ473" s="111"/>
      <c r="CA473" s="111"/>
      <c r="CB473" s="111"/>
      <c r="CC473" s="111"/>
      <c r="CD473" s="111"/>
      <c r="CE473" s="111"/>
      <c r="CF473" s="111"/>
      <c r="CG473" s="111"/>
      <c r="CH473" s="111"/>
      <c r="CI473" s="111"/>
      <c r="CJ473" s="111"/>
      <c r="CK473" s="111"/>
      <c r="CL473" s="111"/>
      <c r="CM473" s="111"/>
      <c r="CN473" s="111"/>
      <c r="CO473" s="111"/>
      <c r="CP473" s="111"/>
      <c r="CQ473" s="111"/>
      <c r="CR473" s="111"/>
      <c r="CS473" s="111"/>
      <c r="CT473" s="111"/>
      <c r="CU473" s="111"/>
      <c r="CV473" s="111"/>
      <c r="CW473" s="111"/>
      <c r="CX473" s="111"/>
      <c r="CY473" s="111"/>
      <c r="CZ473" s="111"/>
      <c r="DA473" s="111"/>
      <c r="DB473" s="111"/>
      <c r="DC473" s="111"/>
      <c r="DD473" s="111"/>
      <c r="DE473" s="111"/>
      <c r="DF473" s="111"/>
      <c r="DG473" s="111"/>
      <c r="DH473" s="111"/>
      <c r="DI473" s="111"/>
      <c r="DJ473" s="111"/>
      <c r="DK473" s="111"/>
      <c r="DL473" s="111"/>
      <c r="DM473" s="111"/>
      <c r="DN473" s="111"/>
      <c r="DO473" s="111"/>
      <c r="DP473" s="111"/>
      <c r="DQ473" s="111"/>
      <c r="DR473" s="111"/>
      <c r="DS473" s="111"/>
      <c r="DT473" s="111"/>
      <c r="DU473" s="111"/>
      <c r="DV473" s="111"/>
      <c r="DW473" s="111"/>
      <c r="DX473" s="111"/>
      <c r="DY473" s="111"/>
      <c r="DZ473" s="111"/>
      <c r="EA473" s="111"/>
      <c r="EB473" s="111"/>
      <c r="EC473" s="111"/>
      <c r="ED473" s="111"/>
      <c r="EE473" s="111"/>
      <c r="EF473" s="111"/>
      <c r="EG473" s="111"/>
      <c r="EH473" s="111"/>
      <c r="EI473" s="111"/>
      <c r="EJ473" s="111"/>
      <c r="EK473" s="111"/>
      <c r="EL473" s="111"/>
      <c r="EM473" s="111"/>
      <c r="EN473" s="111"/>
      <c r="EO473" s="111"/>
      <c r="EP473" s="111"/>
      <c r="EQ473" s="111"/>
      <c r="ER473" s="111"/>
      <c r="ES473" s="111"/>
      <c r="ET473" s="111"/>
      <c r="EU473" s="111"/>
      <c r="EV473" s="111"/>
      <c r="EW473" s="111"/>
      <c r="EX473" s="111"/>
      <c r="EY473" s="111"/>
      <c r="EZ473" s="111"/>
      <c r="FA473" s="111"/>
      <c r="FB473" s="111"/>
      <c r="FC473" s="111"/>
      <c r="FD473" s="111"/>
      <c r="FE473" s="111"/>
      <c r="FF473" s="111"/>
      <c r="FG473" s="111"/>
      <c r="FH473" s="111"/>
      <c r="FI473" s="111"/>
      <c r="FJ473" s="111"/>
      <c r="FK473" s="111"/>
      <c r="FL473" s="111"/>
      <c r="FM473" s="111"/>
      <c r="FN473" s="111"/>
      <c r="FO473" s="111"/>
      <c r="FP473" s="111"/>
      <c r="FQ473" s="111"/>
      <c r="FR473" s="111"/>
      <c r="FS473" s="111"/>
      <c r="FT473" s="111"/>
      <c r="FU473" s="111"/>
      <c r="FV473" s="111"/>
      <c r="FW473" s="111"/>
      <c r="FX473" s="111"/>
      <c r="FY473" s="111"/>
      <c r="FZ473" s="111"/>
      <c r="GA473" s="111"/>
      <c r="GB473" s="111"/>
      <c r="GC473" s="111"/>
      <c r="GD473" s="111"/>
      <c r="GE473" s="111"/>
      <c r="GF473" s="111"/>
      <c r="GG473" s="111"/>
      <c r="GH473" s="111"/>
      <c r="GI473" s="111"/>
      <c r="GJ473" s="111"/>
      <c r="GK473" s="111"/>
      <c r="GL473" s="111"/>
    </row>
    <row r="474" spans="1:194" ht="13.5" customHeight="1">
      <c r="A474" s="42">
        <v>90</v>
      </c>
      <c r="B474" s="10">
        <v>784</v>
      </c>
      <c r="C474" s="10">
        <v>784181101</v>
      </c>
      <c r="D474" s="10" t="s">
        <v>81</v>
      </c>
      <c r="E474" s="10" t="s">
        <v>20</v>
      </c>
      <c r="F474" s="48">
        <f>SUM(F476:F477)</f>
        <v>766.82999999999993</v>
      </c>
      <c r="G474" s="459"/>
      <c r="H474" s="48">
        <f>F474*G474</f>
        <v>0</v>
      </c>
      <c r="I474" s="97" t="s">
        <v>254</v>
      </c>
      <c r="J474" s="168"/>
      <c r="K474" s="133"/>
      <c r="L474" s="133"/>
      <c r="M474" s="133"/>
      <c r="N474" s="133"/>
      <c r="O474" s="133"/>
      <c r="P474" s="133"/>
      <c r="Q474" s="95"/>
      <c r="R474" s="95"/>
    </row>
    <row r="475" spans="1:194" ht="13.5" customHeight="1">
      <c r="A475" s="42"/>
      <c r="B475" s="10"/>
      <c r="C475" s="10"/>
      <c r="D475" s="34" t="s">
        <v>158</v>
      </c>
      <c r="E475" s="10"/>
      <c r="F475" s="48"/>
      <c r="G475" s="48"/>
      <c r="H475" s="48"/>
      <c r="I475" s="97"/>
      <c r="J475" s="162"/>
    </row>
    <row r="476" spans="1:194" ht="13.5" customHeight="1">
      <c r="A476" s="42"/>
      <c r="B476" s="10"/>
      <c r="C476" s="10"/>
      <c r="D476" s="34" t="s">
        <v>464</v>
      </c>
      <c r="E476" s="10"/>
      <c r="F476" s="99">
        <f>1724.32</f>
        <v>1724.32</v>
      </c>
      <c r="G476" s="48"/>
      <c r="H476" s="48"/>
      <c r="I476" s="97"/>
      <c r="J476" s="109"/>
    </row>
    <row r="477" spans="1:194" ht="13.5" customHeight="1">
      <c r="A477" s="42"/>
      <c r="B477" s="10"/>
      <c r="C477" s="10"/>
      <c r="D477" s="34" t="s">
        <v>394</v>
      </c>
      <c r="E477" s="10"/>
      <c r="F477" s="99">
        <f>-(845.71+1.33+27.64+49.29+33.52)</f>
        <v>-957.49</v>
      </c>
      <c r="G477" s="48"/>
      <c r="H477" s="48"/>
      <c r="I477" s="97"/>
    </row>
    <row r="478" spans="1:194" ht="40.5" customHeight="1">
      <c r="A478" s="42">
        <v>91</v>
      </c>
      <c r="B478" s="10">
        <v>784</v>
      </c>
      <c r="C478" s="10" t="s">
        <v>153</v>
      </c>
      <c r="D478" s="10" t="s">
        <v>154</v>
      </c>
      <c r="E478" s="10" t="s">
        <v>20</v>
      </c>
      <c r="F478" s="96">
        <f>SUM(F480:F481)</f>
        <v>957.49</v>
      </c>
      <c r="G478" s="459"/>
      <c r="H478" s="48">
        <f>F478*G478</f>
        <v>0</v>
      </c>
      <c r="I478" s="97" t="s">
        <v>262</v>
      </c>
      <c r="J478" s="161"/>
    </row>
    <row r="479" spans="1:194" ht="13.5" customHeight="1">
      <c r="A479" s="42"/>
      <c r="B479" s="10"/>
      <c r="C479" s="10"/>
      <c r="D479" s="34" t="s">
        <v>155</v>
      </c>
      <c r="E479" s="10"/>
      <c r="F479" s="96"/>
      <c r="G479" s="48"/>
      <c r="H479" s="48"/>
      <c r="I479" s="97"/>
      <c r="J479" s="266"/>
      <c r="K479" s="358"/>
      <c r="N479" s="358"/>
    </row>
    <row r="480" spans="1:194" ht="13.5" customHeight="1">
      <c r="A480" s="42"/>
      <c r="B480" s="10"/>
      <c r="C480" s="10"/>
      <c r="D480" s="34" t="s">
        <v>213</v>
      </c>
      <c r="E480" s="10"/>
      <c r="F480" s="37"/>
      <c r="G480" s="48"/>
      <c r="H480" s="48"/>
      <c r="I480" s="97"/>
      <c r="J480" s="109"/>
      <c r="K480" s="109"/>
      <c r="L480" s="109"/>
      <c r="M480" s="109"/>
      <c r="N480" s="109"/>
      <c r="O480" s="109"/>
      <c r="P480" s="266"/>
    </row>
    <row r="481" spans="1:33" ht="13.5" customHeight="1">
      <c r="A481" s="42"/>
      <c r="B481" s="10"/>
      <c r="C481" s="10"/>
      <c r="D481" s="34" t="s">
        <v>388</v>
      </c>
      <c r="E481" s="10"/>
      <c r="F481" s="37">
        <f>(845.71+1.33+27.64+49.29+33.52)</f>
        <v>957.49</v>
      </c>
      <c r="G481" s="48"/>
      <c r="H481" s="48"/>
      <c r="I481" s="97"/>
      <c r="J481" s="266"/>
    </row>
    <row r="482" spans="1:33" ht="27" customHeight="1">
      <c r="A482" s="42">
        <v>92</v>
      </c>
      <c r="B482" s="10">
        <v>784</v>
      </c>
      <c r="C482" s="10" t="s">
        <v>179</v>
      </c>
      <c r="D482" s="10" t="s">
        <v>156</v>
      </c>
      <c r="E482" s="10" t="s">
        <v>20</v>
      </c>
      <c r="F482" s="96">
        <f>SUM(F484:F485)</f>
        <v>957.49</v>
      </c>
      <c r="G482" s="459"/>
      <c r="H482" s="48">
        <f>F482*G482</f>
        <v>0</v>
      </c>
      <c r="I482" s="97" t="s">
        <v>262</v>
      </c>
      <c r="J482" s="299"/>
    </row>
    <row r="483" spans="1:33" ht="54" customHeight="1">
      <c r="A483" s="42"/>
      <c r="B483" s="10"/>
      <c r="C483" s="10"/>
      <c r="D483" s="34" t="s">
        <v>157</v>
      </c>
      <c r="E483" s="10"/>
      <c r="F483" s="96"/>
      <c r="G483" s="48"/>
      <c r="H483" s="48"/>
      <c r="I483" s="97"/>
      <c r="J483" s="358"/>
      <c r="M483" s="358"/>
    </row>
    <row r="484" spans="1:33" ht="13.5" customHeight="1">
      <c r="A484" s="42"/>
      <c r="B484" s="10"/>
      <c r="C484" s="10"/>
      <c r="D484" s="34" t="s">
        <v>214</v>
      </c>
      <c r="E484" s="10"/>
      <c r="F484" s="37"/>
      <c r="G484" s="48"/>
      <c r="H484" s="48"/>
      <c r="I484" s="97"/>
      <c r="J484" s="109"/>
    </row>
    <row r="485" spans="1:33" ht="13.5" customHeight="1">
      <c r="A485" s="42"/>
      <c r="B485" s="10"/>
      <c r="C485" s="10"/>
      <c r="D485" s="34" t="s">
        <v>388</v>
      </c>
      <c r="E485" s="10"/>
      <c r="F485" s="37">
        <f>(845.71+1.33+27.64+49.29+33.52)</f>
        <v>957.49</v>
      </c>
      <c r="G485" s="48"/>
      <c r="H485" s="48"/>
      <c r="I485" s="97"/>
      <c r="J485" s="266"/>
    </row>
    <row r="486" spans="1:33" ht="27" customHeight="1">
      <c r="A486" s="42">
        <v>93</v>
      </c>
      <c r="B486" s="10">
        <v>784</v>
      </c>
      <c r="C486" s="10">
        <v>784211101</v>
      </c>
      <c r="D486" s="10" t="s">
        <v>74</v>
      </c>
      <c r="E486" s="10" t="s">
        <v>20</v>
      </c>
      <c r="F486" s="96">
        <f>SUM(F489:F493)</f>
        <v>766.83400000000006</v>
      </c>
      <c r="G486" s="459"/>
      <c r="H486" s="48">
        <f>F486*G486</f>
        <v>0</v>
      </c>
      <c r="I486" s="97" t="s">
        <v>254</v>
      </c>
      <c r="J486" s="109"/>
    </row>
    <row r="487" spans="1:33" ht="27" customHeight="1">
      <c r="A487" s="42"/>
      <c r="B487" s="10"/>
      <c r="C487" s="10"/>
      <c r="D487" s="34" t="s">
        <v>159</v>
      </c>
      <c r="E487" s="10"/>
      <c r="F487" s="10"/>
      <c r="G487" s="48"/>
      <c r="H487" s="48"/>
      <c r="I487" s="97"/>
      <c r="J487" s="109"/>
    </row>
    <row r="488" spans="1:33" ht="13.5" customHeight="1">
      <c r="A488" s="42"/>
      <c r="B488" s="10"/>
      <c r="C488" s="10"/>
      <c r="D488" s="34" t="s">
        <v>138</v>
      </c>
      <c r="E488" s="10"/>
      <c r="F488" s="10"/>
      <c r="G488" s="48"/>
      <c r="H488" s="48"/>
      <c r="I488" s="97"/>
      <c r="J488" s="109"/>
    </row>
    <row r="489" spans="1:33" ht="13.5" customHeight="1">
      <c r="A489" s="120"/>
      <c r="B489" s="87"/>
      <c r="C489" s="87"/>
      <c r="D489" s="34" t="s">
        <v>395</v>
      </c>
      <c r="E489" s="87"/>
      <c r="F489" s="37">
        <f>314.45</f>
        <v>314.45</v>
      </c>
      <c r="G489" s="90"/>
      <c r="H489" s="90"/>
      <c r="I489" s="97"/>
      <c r="J489" s="184"/>
    </row>
    <row r="490" spans="1:33" ht="13.5" customHeight="1">
      <c r="A490" s="120"/>
      <c r="B490" s="87"/>
      <c r="C490" s="87"/>
      <c r="D490" s="34" t="s">
        <v>396</v>
      </c>
      <c r="E490" s="87"/>
      <c r="F490" s="37">
        <f>396.91</f>
        <v>396.91</v>
      </c>
      <c r="G490" s="90"/>
      <c r="H490" s="90"/>
      <c r="I490" s="97"/>
      <c r="J490" s="360"/>
    </row>
    <row r="491" spans="1:33" ht="13.5" customHeight="1">
      <c r="A491" s="42"/>
      <c r="B491" s="10"/>
      <c r="C491" s="10"/>
      <c r="D491" s="34" t="s">
        <v>397</v>
      </c>
      <c r="E491" s="10"/>
      <c r="F491" s="37">
        <f>25.594</f>
        <v>25.594000000000001</v>
      </c>
      <c r="G491" s="48"/>
      <c r="H491" s="48"/>
      <c r="I491" s="97"/>
      <c r="J491" s="136"/>
      <c r="K491" s="95"/>
      <c r="L491" s="95"/>
      <c r="M491" s="95"/>
      <c r="N491" s="95"/>
      <c r="O491" s="95"/>
      <c r="P491" s="95"/>
      <c r="Q491" s="95"/>
      <c r="R491" s="95"/>
      <c r="S491" s="95"/>
      <c r="T491" s="95"/>
      <c r="U491" s="95"/>
      <c r="V491" s="95"/>
      <c r="W491" s="95"/>
      <c r="X491" s="95"/>
      <c r="Y491" s="95"/>
      <c r="Z491" s="95"/>
      <c r="AA491" s="95"/>
      <c r="AB491" s="95"/>
      <c r="AC491" s="95"/>
      <c r="AD491" s="95"/>
      <c r="AE491" s="95"/>
      <c r="AF491" s="95"/>
      <c r="AG491" s="95"/>
    </row>
    <row r="492" spans="1:33" ht="13.5" customHeight="1">
      <c r="A492" s="42"/>
      <c r="B492" s="10"/>
      <c r="C492" s="10"/>
      <c r="D492" s="34" t="s">
        <v>462</v>
      </c>
      <c r="E492" s="10"/>
      <c r="F492" s="37">
        <f>22.81</f>
        <v>22.81</v>
      </c>
      <c r="G492" s="48"/>
      <c r="H492" s="48"/>
      <c r="I492" s="97"/>
      <c r="J492" s="136"/>
      <c r="K492" s="95"/>
      <c r="L492" s="95"/>
      <c r="M492" s="95"/>
      <c r="N492" s="95"/>
      <c r="O492" s="95"/>
      <c r="P492" s="95"/>
      <c r="Q492" s="95"/>
      <c r="R492" s="95"/>
      <c r="S492" s="95"/>
      <c r="T492" s="95"/>
      <c r="U492" s="95"/>
      <c r="V492" s="95"/>
      <c r="W492" s="95"/>
      <c r="X492" s="95"/>
      <c r="Y492" s="95"/>
      <c r="Z492" s="95"/>
      <c r="AA492" s="95"/>
      <c r="AB492" s="95"/>
      <c r="AC492" s="95"/>
      <c r="AD492" s="95"/>
      <c r="AE492" s="95"/>
      <c r="AF492" s="95"/>
      <c r="AG492" s="95"/>
    </row>
    <row r="493" spans="1:33" s="95" customFormat="1" ht="13.5" customHeight="1">
      <c r="A493" s="120"/>
      <c r="B493" s="87"/>
      <c r="C493" s="121"/>
      <c r="D493" s="131" t="s">
        <v>233</v>
      </c>
      <c r="E493" s="121"/>
      <c r="F493" s="135">
        <f>7.07</f>
        <v>7.07</v>
      </c>
      <c r="G493" s="123"/>
      <c r="H493" s="123"/>
      <c r="I493" s="38"/>
      <c r="J493" s="362"/>
      <c r="K493" s="74"/>
      <c r="L493" s="74"/>
      <c r="M493" s="74"/>
      <c r="N493" s="74"/>
      <c r="O493" s="74"/>
      <c r="P493" s="74"/>
      <c r="Q493" s="74"/>
      <c r="R493" s="74"/>
      <c r="S493" s="74"/>
      <c r="T493" s="74"/>
      <c r="U493" s="74"/>
      <c r="V493" s="74"/>
      <c r="W493" s="74"/>
      <c r="X493" s="74"/>
      <c r="Y493" s="74"/>
      <c r="Z493" s="74"/>
      <c r="AA493" s="74"/>
      <c r="AB493" s="74"/>
      <c r="AC493" s="74"/>
      <c r="AD493" s="74"/>
      <c r="AE493" s="74"/>
      <c r="AF493" s="74"/>
      <c r="AG493" s="74"/>
    </row>
    <row r="494" spans="1:33" ht="27" customHeight="1">
      <c r="A494" s="42">
        <v>94</v>
      </c>
      <c r="B494" s="10">
        <v>784</v>
      </c>
      <c r="C494" s="10">
        <v>784211151</v>
      </c>
      <c r="D494" s="10" t="s">
        <v>106</v>
      </c>
      <c r="E494" s="10" t="s">
        <v>20</v>
      </c>
      <c r="F494" s="48">
        <f>SUM(F495:F495)</f>
        <v>1724.3200000000002</v>
      </c>
      <c r="G494" s="459"/>
      <c r="H494" s="48">
        <f>F494*G494</f>
        <v>0</v>
      </c>
      <c r="I494" s="97" t="s">
        <v>254</v>
      </c>
    </row>
    <row r="495" spans="1:33" ht="13.5" customHeight="1">
      <c r="A495" s="120"/>
      <c r="B495" s="87"/>
      <c r="C495" s="87"/>
      <c r="D495" s="34" t="s">
        <v>463</v>
      </c>
      <c r="E495" s="87"/>
      <c r="F495" s="379">
        <f>(766.83)+(957.49)</f>
        <v>1724.3200000000002</v>
      </c>
      <c r="G495" s="90"/>
      <c r="H495" s="90"/>
      <c r="I495" s="97"/>
      <c r="J495" s="111"/>
      <c r="K495" s="111"/>
      <c r="L495" s="111"/>
      <c r="M495" s="111"/>
      <c r="N495" s="111"/>
      <c r="O495" s="111"/>
      <c r="P495" s="111"/>
      <c r="Q495" s="111"/>
      <c r="R495" s="111"/>
      <c r="S495" s="111"/>
      <c r="T495" s="111"/>
      <c r="U495" s="111"/>
      <c r="V495" s="111"/>
      <c r="W495" s="111"/>
      <c r="X495" s="111"/>
      <c r="Y495" s="111"/>
      <c r="Z495" s="111"/>
      <c r="AA495" s="111"/>
      <c r="AB495" s="111"/>
      <c r="AC495" s="111"/>
      <c r="AD495" s="111"/>
      <c r="AE495" s="111"/>
      <c r="AF495" s="111"/>
      <c r="AG495" s="111"/>
    </row>
    <row r="496" spans="1:33" s="111" customFormat="1" ht="13.5" customHeight="1">
      <c r="A496" s="42">
        <v>95</v>
      </c>
      <c r="B496" s="39" t="s">
        <v>45</v>
      </c>
      <c r="C496" s="10" t="s">
        <v>69</v>
      </c>
      <c r="D496" s="10" t="s">
        <v>70</v>
      </c>
      <c r="E496" s="10" t="s">
        <v>31</v>
      </c>
      <c r="F496" s="96">
        <f>F497</f>
        <v>20</v>
      </c>
      <c r="G496" s="459"/>
      <c r="H496" s="48">
        <f>F496*G496</f>
        <v>0</v>
      </c>
      <c r="I496" s="97" t="s">
        <v>254</v>
      </c>
      <c r="J496" s="95"/>
      <c r="K496" s="95"/>
      <c r="L496" s="95"/>
      <c r="M496" s="95"/>
      <c r="N496" s="95"/>
      <c r="O496" s="95"/>
      <c r="P496" s="95"/>
      <c r="Q496" s="95"/>
      <c r="R496" s="95"/>
      <c r="S496" s="95"/>
      <c r="T496" s="95"/>
      <c r="U496" s="95"/>
      <c r="V496" s="95"/>
      <c r="W496" s="95"/>
      <c r="X496" s="95"/>
      <c r="Y496" s="95"/>
      <c r="Z496" s="95"/>
      <c r="AA496" s="95"/>
      <c r="AB496" s="95"/>
      <c r="AC496" s="95"/>
      <c r="AD496" s="95"/>
      <c r="AE496" s="95"/>
      <c r="AF496" s="95"/>
      <c r="AG496" s="95"/>
    </row>
    <row r="497" spans="1:256" s="95" customFormat="1" ht="13.5" customHeight="1">
      <c r="A497" s="117"/>
      <c r="B497" s="35"/>
      <c r="C497" s="35"/>
      <c r="D497" s="36" t="s">
        <v>73</v>
      </c>
      <c r="E497" s="35"/>
      <c r="F497" s="37">
        <v>20</v>
      </c>
      <c r="G497" s="47"/>
      <c r="H497" s="48"/>
      <c r="I497" s="38"/>
    </row>
    <row r="498" spans="1:256" s="95" customFormat="1" ht="24.75" customHeight="1">
      <c r="A498" s="117"/>
      <c r="B498" s="35"/>
      <c r="C498" s="35"/>
      <c r="D498" s="36" t="s">
        <v>71</v>
      </c>
      <c r="E498" s="35"/>
      <c r="F498" s="37"/>
      <c r="G498" s="47"/>
      <c r="H498" s="48"/>
      <c r="I498" s="38"/>
    </row>
    <row r="499" spans="1:256" ht="13.5" customHeight="1">
      <c r="A499" s="130"/>
      <c r="B499" s="87"/>
      <c r="C499" s="87">
        <v>790</v>
      </c>
      <c r="D499" s="87" t="s">
        <v>234</v>
      </c>
      <c r="E499" s="87"/>
      <c r="F499" s="174"/>
      <c r="G499" s="90"/>
      <c r="H499" s="90">
        <f>SUM(H500:H507)</f>
        <v>0</v>
      </c>
      <c r="I499" s="38"/>
    </row>
    <row r="500" spans="1:256" s="385" customFormat="1" ht="13.5" customHeight="1">
      <c r="A500" s="380">
        <v>96</v>
      </c>
      <c r="B500" s="381">
        <v>790</v>
      </c>
      <c r="C500" s="381" t="s">
        <v>235</v>
      </c>
      <c r="D500" s="381" t="s">
        <v>500</v>
      </c>
      <c r="E500" s="381" t="s">
        <v>23</v>
      </c>
      <c r="F500" s="382">
        <f>F501</f>
        <v>1</v>
      </c>
      <c r="G500" s="467"/>
      <c r="H500" s="383">
        <f>F500*G500</f>
        <v>0</v>
      </c>
      <c r="I500" s="384" t="s">
        <v>262</v>
      </c>
      <c r="J500" s="252"/>
      <c r="K500" s="95"/>
      <c r="L500" s="95"/>
      <c r="M500" s="95"/>
      <c r="N500" s="95"/>
      <c r="O500" s="95"/>
      <c r="P500" s="95"/>
      <c r="Q500" s="95"/>
      <c r="R500" s="95"/>
      <c r="S500" s="95"/>
      <c r="T500" s="95"/>
      <c r="U500" s="95"/>
      <c r="V500" s="95"/>
      <c r="W500" s="95"/>
      <c r="X500" s="95"/>
      <c r="Y500" s="95"/>
      <c r="Z500" s="95"/>
      <c r="AA500" s="95"/>
      <c r="AB500" s="95"/>
      <c r="AC500" s="95"/>
      <c r="AD500" s="95"/>
      <c r="AE500" s="95"/>
      <c r="AF500" s="95"/>
      <c r="AG500" s="95"/>
      <c r="AH500" s="95"/>
      <c r="AI500" s="95"/>
      <c r="AJ500" s="95"/>
      <c r="AK500" s="95"/>
      <c r="AL500" s="95"/>
      <c r="AM500" s="95"/>
      <c r="AN500" s="95"/>
      <c r="AO500" s="95"/>
      <c r="AP500" s="95"/>
      <c r="AQ500" s="95"/>
    </row>
    <row r="501" spans="1:256" s="385" customFormat="1" ht="40.5" customHeight="1">
      <c r="A501" s="380"/>
      <c r="B501" s="381"/>
      <c r="C501" s="381"/>
      <c r="D501" s="386" t="s">
        <v>499</v>
      </c>
      <c r="E501" s="381"/>
      <c r="F501" s="387">
        <v>1</v>
      </c>
      <c r="G501" s="383"/>
      <c r="H501" s="383"/>
      <c r="I501" s="388"/>
      <c r="J501" s="95"/>
      <c r="K501" s="95"/>
      <c r="L501" s="95"/>
      <c r="M501" s="95"/>
      <c r="N501" s="95"/>
      <c r="O501" s="95"/>
      <c r="P501" s="95"/>
      <c r="Q501" s="95"/>
      <c r="R501" s="95"/>
      <c r="S501" s="95"/>
      <c r="T501" s="95"/>
      <c r="U501" s="95"/>
      <c r="V501" s="95"/>
      <c r="W501" s="95"/>
      <c r="X501" s="95"/>
      <c r="Y501" s="95"/>
      <c r="Z501" s="95"/>
      <c r="AA501" s="95"/>
      <c r="AB501" s="95"/>
      <c r="AC501" s="95"/>
      <c r="AD501" s="95"/>
      <c r="AE501" s="95"/>
      <c r="AF501" s="95"/>
      <c r="AG501" s="95"/>
      <c r="AH501" s="95"/>
      <c r="AI501" s="95"/>
      <c r="AJ501" s="95"/>
      <c r="AK501" s="95"/>
      <c r="AL501" s="95"/>
      <c r="AM501" s="95"/>
      <c r="AN501" s="95"/>
      <c r="AO501" s="95"/>
      <c r="AP501" s="95"/>
      <c r="AQ501" s="95"/>
    </row>
    <row r="502" spans="1:256" s="56" customFormat="1" ht="108" customHeight="1">
      <c r="A502" s="57"/>
      <c r="B502" s="58"/>
      <c r="C502" s="58"/>
      <c r="D502" s="59" t="s">
        <v>501</v>
      </c>
      <c r="E502" s="58"/>
      <c r="F502" s="60"/>
      <c r="G502" s="61"/>
      <c r="H502" s="61"/>
      <c r="I502" s="62"/>
      <c r="J502" s="65"/>
    </row>
    <row r="503" spans="1:256" s="385" customFormat="1" ht="13.5" customHeight="1">
      <c r="A503" s="389"/>
      <c r="B503" s="380"/>
      <c r="C503" s="390"/>
      <c r="D503" s="386" t="s">
        <v>241</v>
      </c>
      <c r="E503" s="381"/>
      <c r="F503" s="391"/>
      <c r="G503" s="392"/>
      <c r="H503" s="393"/>
      <c r="I503" s="394"/>
      <c r="J503" s="95"/>
      <c r="K503" s="95"/>
      <c r="L503" s="95"/>
      <c r="M503" s="95"/>
      <c r="N503" s="95"/>
      <c r="O503" s="95"/>
      <c r="P503" s="95"/>
      <c r="Q503" s="95"/>
      <c r="R503" s="95"/>
      <c r="S503" s="95"/>
      <c r="T503" s="95"/>
      <c r="U503" s="95"/>
      <c r="V503" s="95"/>
      <c r="W503" s="95"/>
      <c r="X503" s="95"/>
      <c r="Y503" s="95"/>
      <c r="Z503" s="95"/>
      <c r="AA503" s="95"/>
      <c r="AB503" s="95"/>
      <c r="AC503" s="95"/>
      <c r="AD503" s="95"/>
      <c r="AE503" s="95"/>
      <c r="AF503" s="95"/>
      <c r="AG503" s="95"/>
      <c r="AH503" s="95"/>
      <c r="AI503" s="95"/>
      <c r="AJ503" s="95"/>
      <c r="AK503" s="95"/>
      <c r="AL503" s="95"/>
      <c r="AM503" s="95"/>
      <c r="AN503" s="95"/>
      <c r="AO503" s="95"/>
      <c r="AP503" s="95"/>
      <c r="AQ503" s="95"/>
    </row>
    <row r="504" spans="1:256" s="385" customFormat="1" ht="13.5" customHeight="1">
      <c r="A504" s="380">
        <v>97</v>
      </c>
      <c r="B504" s="395" t="s">
        <v>239</v>
      </c>
      <c r="C504" s="381" t="s">
        <v>240</v>
      </c>
      <c r="D504" s="381" t="s">
        <v>242</v>
      </c>
      <c r="E504" s="381" t="s">
        <v>49</v>
      </c>
      <c r="F504" s="382">
        <v>1.1000000000000001</v>
      </c>
      <c r="G504" s="467"/>
      <c r="H504" s="383">
        <f>F504*G504</f>
        <v>0</v>
      </c>
      <c r="I504" s="388" t="s">
        <v>306</v>
      </c>
      <c r="J504" s="396"/>
      <c r="K504" s="95"/>
      <c r="L504" s="95"/>
      <c r="M504" s="95"/>
      <c r="N504" s="95"/>
      <c r="O504" s="95"/>
      <c r="P504" s="95"/>
      <c r="Q504" s="95"/>
      <c r="R504" s="95"/>
      <c r="S504" s="95"/>
      <c r="T504" s="95"/>
      <c r="U504" s="95"/>
      <c r="V504" s="95"/>
      <c r="W504" s="95"/>
      <c r="X504" s="95"/>
      <c r="Y504" s="95"/>
      <c r="Z504" s="95"/>
      <c r="AA504" s="95"/>
      <c r="AB504" s="95"/>
      <c r="AC504" s="95"/>
      <c r="AD504" s="95"/>
      <c r="AE504" s="95"/>
    </row>
    <row r="505" spans="1:256" s="95" customFormat="1" ht="13.5" customHeight="1">
      <c r="A505" s="175">
        <v>98</v>
      </c>
      <c r="B505" s="104" t="s">
        <v>45</v>
      </c>
      <c r="C505" s="104" t="s">
        <v>236</v>
      </c>
      <c r="D505" s="104" t="s">
        <v>237</v>
      </c>
      <c r="E505" s="104" t="s">
        <v>31</v>
      </c>
      <c r="F505" s="178">
        <f>F506</f>
        <v>1</v>
      </c>
      <c r="G505" s="463"/>
      <c r="H505" s="107">
        <f>F505*G505</f>
        <v>0</v>
      </c>
      <c r="I505" s="113" t="s">
        <v>254</v>
      </c>
      <c r="J505" s="199"/>
      <c r="R505" s="200"/>
    </row>
    <row r="506" spans="1:256" s="95" customFormat="1" ht="13.5" customHeight="1">
      <c r="A506" s="318"/>
      <c r="B506" s="319"/>
      <c r="C506" s="319"/>
      <c r="D506" s="224" t="s">
        <v>238</v>
      </c>
      <c r="E506" s="319"/>
      <c r="F506" s="116">
        <v>1</v>
      </c>
      <c r="G506" s="320"/>
      <c r="H506" s="107"/>
      <c r="I506" s="218"/>
      <c r="J506" s="199"/>
      <c r="R506" s="200"/>
    </row>
    <row r="507" spans="1:256" s="95" customFormat="1" ht="13.5" customHeight="1">
      <c r="A507" s="318"/>
      <c r="B507" s="319"/>
      <c r="C507" s="319"/>
      <c r="D507" s="224" t="s">
        <v>50</v>
      </c>
      <c r="E507" s="319"/>
      <c r="F507" s="116"/>
      <c r="G507" s="320"/>
      <c r="H507" s="107"/>
      <c r="I507" s="218"/>
      <c r="J507" s="199"/>
      <c r="R507" s="200"/>
    </row>
    <row r="508" spans="1:256" s="400" customFormat="1" ht="21" customHeight="1">
      <c r="A508" s="397"/>
      <c r="B508" s="115"/>
      <c r="C508" s="115" t="s">
        <v>126</v>
      </c>
      <c r="D508" s="115" t="s">
        <v>127</v>
      </c>
      <c r="E508" s="115"/>
      <c r="F508" s="229"/>
      <c r="G508" s="398"/>
      <c r="H508" s="398">
        <f>H509</f>
        <v>0</v>
      </c>
      <c r="I508" s="399"/>
    </row>
    <row r="509" spans="1:256" s="385" customFormat="1" ht="13.5" customHeight="1">
      <c r="A509" s="401"/>
      <c r="B509" s="390"/>
      <c r="C509" s="390" t="s">
        <v>128</v>
      </c>
      <c r="D509" s="390" t="s">
        <v>129</v>
      </c>
      <c r="E509" s="390"/>
      <c r="F509" s="402"/>
      <c r="G509" s="393"/>
      <c r="H509" s="393">
        <f>SUM(H510:H524)</f>
        <v>0</v>
      </c>
      <c r="I509" s="403"/>
      <c r="J509" s="95"/>
      <c r="K509" s="95"/>
      <c r="L509" s="95"/>
      <c r="M509" s="95"/>
      <c r="N509" s="95"/>
      <c r="O509" s="95"/>
      <c r="P509" s="95"/>
      <c r="Q509" s="95"/>
      <c r="R509" s="95"/>
      <c r="S509" s="95"/>
      <c r="T509" s="95"/>
      <c r="U509" s="95"/>
      <c r="V509" s="95"/>
      <c r="W509" s="95"/>
      <c r="X509" s="111"/>
      <c r="Y509" s="95"/>
      <c r="Z509" s="95"/>
      <c r="AA509" s="95"/>
      <c r="AB509" s="95"/>
      <c r="AC509" s="95"/>
      <c r="AD509" s="95"/>
      <c r="AE509" s="95"/>
      <c r="AF509" s="95"/>
      <c r="AG509" s="95"/>
      <c r="AH509" s="95"/>
      <c r="AI509" s="95"/>
      <c r="AJ509" s="95"/>
      <c r="AK509" s="95"/>
      <c r="AL509" s="95"/>
      <c r="AM509" s="95"/>
      <c r="AN509" s="95"/>
      <c r="AO509" s="95"/>
      <c r="AP509" s="95"/>
      <c r="AQ509" s="95"/>
    </row>
    <row r="510" spans="1:256" s="385" customFormat="1" ht="13.5" customHeight="1">
      <c r="A510" s="380">
        <v>99</v>
      </c>
      <c r="B510" s="395" t="s">
        <v>130</v>
      </c>
      <c r="C510" s="381" t="s">
        <v>131</v>
      </c>
      <c r="D510" s="381" t="s">
        <v>132</v>
      </c>
      <c r="E510" s="381" t="s">
        <v>142</v>
      </c>
      <c r="F510" s="404">
        <f>SUM(F511)</f>
        <v>350</v>
      </c>
      <c r="G510" s="467"/>
      <c r="H510" s="383">
        <f>F510*G510</f>
        <v>0</v>
      </c>
      <c r="I510" s="388" t="s">
        <v>306</v>
      </c>
      <c r="J510" s="111"/>
      <c r="K510" s="95"/>
      <c r="L510" s="95"/>
      <c r="M510" s="95"/>
      <c r="N510" s="95"/>
      <c r="O510" s="111"/>
      <c r="P510" s="111"/>
      <c r="Q510" s="111"/>
      <c r="R510" s="111"/>
      <c r="S510" s="111"/>
      <c r="T510" s="111"/>
      <c r="U510" s="111"/>
      <c r="V510" s="111"/>
      <c r="W510" s="111"/>
      <c r="X510" s="111"/>
      <c r="Y510" s="111"/>
      <c r="Z510" s="111"/>
      <c r="AA510" s="95"/>
      <c r="AB510" s="111"/>
      <c r="AC510" s="111"/>
      <c r="AD510" s="111"/>
      <c r="AE510" s="111"/>
      <c r="AF510" s="111"/>
      <c r="AG510" s="111"/>
      <c r="AH510" s="111"/>
      <c r="AI510" s="111"/>
      <c r="AJ510" s="111"/>
      <c r="AK510" s="111"/>
      <c r="AL510" s="111"/>
      <c r="AM510" s="111"/>
      <c r="AN510" s="111"/>
      <c r="AO510" s="111"/>
      <c r="AP510" s="111"/>
      <c r="AQ510" s="111"/>
      <c r="AR510" s="405"/>
      <c r="AS510" s="405"/>
      <c r="AT510" s="405"/>
      <c r="AU510" s="405"/>
      <c r="AV510" s="405"/>
      <c r="AW510" s="405"/>
      <c r="AX510" s="405"/>
      <c r="AY510" s="405"/>
      <c r="AZ510" s="405"/>
      <c r="BA510" s="405"/>
      <c r="BB510" s="405"/>
      <c r="BC510" s="405"/>
      <c r="BD510" s="405"/>
      <c r="BE510" s="405"/>
      <c r="BF510" s="405"/>
      <c r="BG510" s="405"/>
      <c r="BH510" s="405"/>
      <c r="BI510" s="405"/>
      <c r="BJ510" s="405"/>
      <c r="BK510" s="405"/>
      <c r="BL510" s="405"/>
      <c r="BM510" s="405"/>
      <c r="BN510" s="405"/>
      <c r="BO510" s="405"/>
      <c r="BP510" s="405"/>
      <c r="BQ510" s="405"/>
      <c r="BR510" s="405"/>
      <c r="BS510" s="405"/>
      <c r="BT510" s="405"/>
      <c r="BU510" s="405"/>
      <c r="BV510" s="405"/>
      <c r="BW510" s="405"/>
      <c r="BX510" s="405"/>
      <c r="BY510" s="405"/>
      <c r="BZ510" s="405"/>
      <c r="CA510" s="405"/>
      <c r="CB510" s="405"/>
      <c r="CC510" s="405"/>
      <c r="CD510" s="405"/>
      <c r="CE510" s="405"/>
      <c r="CF510" s="405"/>
      <c r="CG510" s="405"/>
      <c r="CH510" s="405"/>
      <c r="CI510" s="405"/>
      <c r="CJ510" s="405"/>
      <c r="CK510" s="405"/>
      <c r="CL510" s="405"/>
      <c r="CM510" s="405"/>
      <c r="CN510" s="405"/>
      <c r="CO510" s="405"/>
      <c r="CP510" s="405"/>
      <c r="CQ510" s="405"/>
      <c r="CR510" s="405"/>
      <c r="CS510" s="405"/>
      <c r="CT510" s="405"/>
      <c r="CU510" s="405"/>
      <c r="CV510" s="405"/>
      <c r="CW510" s="405"/>
      <c r="CX510" s="405"/>
      <c r="CY510" s="405"/>
      <c r="CZ510" s="405"/>
      <c r="DA510" s="405"/>
      <c r="DB510" s="405"/>
      <c r="DC510" s="405"/>
      <c r="DD510" s="405"/>
      <c r="DE510" s="405"/>
      <c r="DF510" s="405"/>
      <c r="DG510" s="405"/>
      <c r="DH510" s="405"/>
      <c r="DI510" s="405"/>
      <c r="DJ510" s="405"/>
      <c r="DK510" s="405"/>
      <c r="DL510" s="405"/>
      <c r="DM510" s="405"/>
      <c r="DN510" s="405"/>
      <c r="DO510" s="405"/>
      <c r="DP510" s="405"/>
      <c r="DQ510" s="405"/>
      <c r="DR510" s="405"/>
      <c r="DS510" s="405"/>
      <c r="DT510" s="405"/>
      <c r="DU510" s="405"/>
      <c r="DV510" s="405"/>
      <c r="DW510" s="405"/>
      <c r="DX510" s="405"/>
      <c r="DY510" s="405"/>
      <c r="DZ510" s="405"/>
      <c r="EA510" s="405"/>
      <c r="EB510" s="405"/>
      <c r="EC510" s="405"/>
      <c r="ED510" s="405"/>
      <c r="EE510" s="405"/>
      <c r="EF510" s="405"/>
      <c r="EG510" s="405"/>
      <c r="EH510" s="405"/>
      <c r="EI510" s="405"/>
      <c r="EJ510" s="405"/>
      <c r="EK510" s="405"/>
      <c r="EL510" s="405"/>
      <c r="EM510" s="405"/>
      <c r="EN510" s="405"/>
      <c r="EO510" s="405"/>
      <c r="EP510" s="405"/>
      <c r="EQ510" s="405"/>
      <c r="ER510" s="405"/>
      <c r="ES510" s="405"/>
      <c r="ET510" s="405"/>
      <c r="EU510" s="405"/>
      <c r="EV510" s="405"/>
      <c r="EW510" s="405"/>
      <c r="EX510" s="405"/>
      <c r="EY510" s="405"/>
      <c r="EZ510" s="405"/>
      <c r="FA510" s="405"/>
      <c r="FB510" s="405"/>
      <c r="FC510" s="405"/>
      <c r="FD510" s="405"/>
      <c r="FE510" s="405"/>
      <c r="FF510" s="405"/>
      <c r="FG510" s="405"/>
      <c r="FH510" s="405"/>
      <c r="FI510" s="405"/>
      <c r="FJ510" s="405"/>
      <c r="FK510" s="405"/>
      <c r="FL510" s="405"/>
      <c r="FM510" s="405"/>
      <c r="FN510" s="405"/>
      <c r="FO510" s="405"/>
      <c r="FP510" s="405"/>
      <c r="FQ510" s="405"/>
      <c r="FR510" s="405"/>
      <c r="FS510" s="405"/>
      <c r="FT510" s="405"/>
      <c r="FU510" s="405"/>
      <c r="FV510" s="405"/>
      <c r="FW510" s="405"/>
      <c r="FX510" s="405"/>
      <c r="FY510" s="405"/>
      <c r="FZ510" s="405"/>
      <c r="GA510" s="405"/>
      <c r="GB510" s="405"/>
      <c r="GC510" s="405"/>
      <c r="GD510" s="405"/>
      <c r="GE510" s="405"/>
      <c r="GF510" s="405"/>
      <c r="GG510" s="405"/>
      <c r="GH510" s="405"/>
      <c r="GI510" s="405"/>
      <c r="GJ510" s="405"/>
      <c r="GK510" s="405"/>
      <c r="GL510" s="405"/>
      <c r="GM510" s="405"/>
      <c r="GN510" s="405"/>
      <c r="GO510" s="405"/>
      <c r="GP510" s="405"/>
      <c r="GQ510" s="405"/>
      <c r="GR510" s="405"/>
      <c r="GS510" s="405"/>
      <c r="GT510" s="405"/>
      <c r="GU510" s="405"/>
      <c r="GV510" s="405"/>
      <c r="GW510" s="405"/>
      <c r="GX510" s="405"/>
      <c r="GY510" s="405"/>
      <c r="GZ510" s="405"/>
      <c r="HA510" s="405"/>
      <c r="HB510" s="405"/>
      <c r="HC510" s="405"/>
      <c r="HD510" s="405"/>
      <c r="HE510" s="405"/>
      <c r="HF510" s="405"/>
      <c r="HG510" s="405"/>
      <c r="HH510" s="405"/>
      <c r="HI510" s="405"/>
      <c r="HJ510" s="405"/>
      <c r="HK510" s="405"/>
      <c r="HL510" s="405"/>
      <c r="HM510" s="405"/>
      <c r="HN510" s="405"/>
      <c r="HO510" s="405"/>
      <c r="HP510" s="405"/>
      <c r="HQ510" s="405"/>
      <c r="HR510" s="405"/>
      <c r="HS510" s="405"/>
      <c r="HT510" s="405"/>
      <c r="HU510" s="405"/>
      <c r="HV510" s="405"/>
      <c r="HW510" s="405"/>
      <c r="HX510" s="405"/>
      <c r="HY510" s="405"/>
      <c r="HZ510" s="405"/>
      <c r="IA510" s="405"/>
      <c r="IB510" s="405"/>
      <c r="IC510" s="405"/>
      <c r="ID510" s="405"/>
      <c r="IE510" s="405"/>
      <c r="IF510" s="405"/>
      <c r="IG510" s="405"/>
      <c r="IH510" s="405"/>
      <c r="II510" s="405"/>
      <c r="IJ510" s="405"/>
      <c r="IK510" s="405"/>
      <c r="IL510" s="405"/>
      <c r="IM510" s="405"/>
      <c r="IN510" s="405"/>
      <c r="IO510" s="405"/>
      <c r="IP510" s="405"/>
      <c r="IQ510" s="405"/>
      <c r="IR510" s="405"/>
      <c r="IS510" s="405"/>
      <c r="IT510" s="405"/>
      <c r="IU510" s="405"/>
      <c r="IV510" s="405"/>
    </row>
    <row r="511" spans="1:256" s="385" customFormat="1" ht="13.5" customHeight="1">
      <c r="A511" s="380"/>
      <c r="B511" s="395"/>
      <c r="C511" s="381"/>
      <c r="D511" s="386" t="s">
        <v>243</v>
      </c>
      <c r="E511" s="381"/>
      <c r="F511" s="406">
        <v>350</v>
      </c>
      <c r="G511" s="383"/>
      <c r="H511" s="383"/>
      <c r="I511" s="388"/>
      <c r="J511" s="111"/>
      <c r="K511" s="95"/>
      <c r="L511" s="95"/>
      <c r="M511" s="95"/>
      <c r="N511" s="95"/>
      <c r="O511" s="111"/>
      <c r="P511" s="111"/>
      <c r="Q511" s="111"/>
      <c r="R511" s="111"/>
      <c r="S511" s="111"/>
      <c r="T511" s="111"/>
      <c r="U511" s="111"/>
      <c r="V511" s="111"/>
      <c r="W511" s="111"/>
      <c r="X511" s="111"/>
      <c r="Y511" s="111"/>
      <c r="Z511" s="111"/>
      <c r="AA511" s="95"/>
      <c r="AB511" s="111"/>
      <c r="AC511" s="111"/>
      <c r="AD511" s="111"/>
      <c r="AE511" s="111"/>
      <c r="AF511" s="111"/>
      <c r="AG511" s="111"/>
      <c r="AH511" s="111"/>
      <c r="AI511" s="111"/>
      <c r="AJ511" s="111"/>
      <c r="AK511" s="111"/>
      <c r="AL511" s="111"/>
      <c r="AM511" s="111"/>
      <c r="AN511" s="111"/>
      <c r="AO511" s="111"/>
      <c r="AP511" s="111"/>
      <c r="AQ511" s="111"/>
      <c r="AR511" s="405"/>
      <c r="AS511" s="405"/>
      <c r="AT511" s="405"/>
      <c r="AU511" s="405"/>
      <c r="AV511" s="405"/>
      <c r="AW511" s="405"/>
      <c r="AX511" s="405"/>
      <c r="AY511" s="405"/>
      <c r="AZ511" s="405"/>
      <c r="BA511" s="405"/>
      <c r="BB511" s="405"/>
      <c r="BC511" s="405"/>
      <c r="BD511" s="405"/>
      <c r="BE511" s="405"/>
      <c r="BF511" s="405"/>
      <c r="BG511" s="405"/>
      <c r="BH511" s="405"/>
      <c r="BI511" s="405"/>
      <c r="BJ511" s="405"/>
      <c r="BK511" s="405"/>
      <c r="BL511" s="405"/>
      <c r="BM511" s="405"/>
      <c r="BN511" s="405"/>
      <c r="BO511" s="405"/>
      <c r="BP511" s="405"/>
      <c r="BQ511" s="405"/>
      <c r="BR511" s="405"/>
      <c r="BS511" s="405"/>
      <c r="BT511" s="405"/>
      <c r="BU511" s="405"/>
      <c r="BV511" s="405"/>
      <c r="BW511" s="405"/>
      <c r="BX511" s="405"/>
      <c r="BY511" s="405"/>
      <c r="BZ511" s="405"/>
      <c r="CA511" s="405"/>
      <c r="CB511" s="405"/>
      <c r="CC511" s="405"/>
      <c r="CD511" s="405"/>
      <c r="CE511" s="405"/>
      <c r="CF511" s="405"/>
      <c r="CG511" s="405"/>
      <c r="CH511" s="405"/>
      <c r="CI511" s="405"/>
      <c r="CJ511" s="405"/>
      <c r="CK511" s="405"/>
      <c r="CL511" s="405"/>
      <c r="CM511" s="405"/>
      <c r="CN511" s="405"/>
      <c r="CO511" s="405"/>
      <c r="CP511" s="405"/>
      <c r="CQ511" s="405"/>
      <c r="CR511" s="405"/>
      <c r="CS511" s="405"/>
      <c r="CT511" s="405"/>
      <c r="CU511" s="405"/>
      <c r="CV511" s="405"/>
      <c r="CW511" s="405"/>
      <c r="CX511" s="405"/>
      <c r="CY511" s="405"/>
      <c r="CZ511" s="405"/>
      <c r="DA511" s="405"/>
      <c r="DB511" s="405"/>
      <c r="DC511" s="405"/>
      <c r="DD511" s="405"/>
      <c r="DE511" s="405"/>
      <c r="DF511" s="405"/>
      <c r="DG511" s="405"/>
      <c r="DH511" s="405"/>
      <c r="DI511" s="405"/>
      <c r="DJ511" s="405"/>
      <c r="DK511" s="405"/>
      <c r="DL511" s="405"/>
      <c r="DM511" s="405"/>
      <c r="DN511" s="405"/>
      <c r="DO511" s="405"/>
      <c r="DP511" s="405"/>
      <c r="DQ511" s="405"/>
      <c r="DR511" s="405"/>
      <c r="DS511" s="405"/>
      <c r="DT511" s="405"/>
      <c r="DU511" s="405"/>
      <c r="DV511" s="405"/>
      <c r="DW511" s="405"/>
      <c r="DX511" s="405"/>
      <c r="DY511" s="405"/>
      <c r="DZ511" s="405"/>
      <c r="EA511" s="405"/>
      <c r="EB511" s="405"/>
      <c r="EC511" s="405"/>
      <c r="ED511" s="405"/>
      <c r="EE511" s="405"/>
      <c r="EF511" s="405"/>
      <c r="EG511" s="405"/>
      <c r="EH511" s="405"/>
      <c r="EI511" s="405"/>
      <c r="EJ511" s="405"/>
      <c r="EK511" s="405"/>
      <c r="EL511" s="405"/>
      <c r="EM511" s="405"/>
      <c r="EN511" s="405"/>
      <c r="EO511" s="405"/>
      <c r="EP511" s="405"/>
      <c r="EQ511" s="405"/>
      <c r="ER511" s="405"/>
      <c r="ES511" s="405"/>
      <c r="ET511" s="405"/>
      <c r="EU511" s="405"/>
      <c r="EV511" s="405"/>
      <c r="EW511" s="405"/>
      <c r="EX511" s="405"/>
      <c r="EY511" s="405"/>
      <c r="EZ511" s="405"/>
      <c r="FA511" s="405"/>
      <c r="FB511" s="405"/>
      <c r="FC511" s="405"/>
      <c r="FD511" s="405"/>
      <c r="FE511" s="405"/>
      <c r="FF511" s="405"/>
      <c r="FG511" s="405"/>
      <c r="FH511" s="405"/>
      <c r="FI511" s="405"/>
      <c r="FJ511" s="405"/>
      <c r="FK511" s="405"/>
      <c r="FL511" s="405"/>
      <c r="FM511" s="405"/>
      <c r="FN511" s="405"/>
      <c r="FO511" s="405"/>
      <c r="FP511" s="405"/>
      <c r="FQ511" s="405"/>
      <c r="FR511" s="405"/>
      <c r="FS511" s="405"/>
      <c r="FT511" s="405"/>
      <c r="FU511" s="405"/>
      <c r="FV511" s="405"/>
      <c r="FW511" s="405"/>
      <c r="FX511" s="405"/>
      <c r="FY511" s="405"/>
      <c r="FZ511" s="405"/>
      <c r="GA511" s="405"/>
      <c r="GB511" s="405"/>
      <c r="GC511" s="405"/>
      <c r="GD511" s="405"/>
      <c r="GE511" s="405"/>
      <c r="GF511" s="405"/>
      <c r="GG511" s="405"/>
      <c r="GH511" s="405"/>
      <c r="GI511" s="405"/>
      <c r="GJ511" s="405"/>
      <c r="GK511" s="405"/>
      <c r="GL511" s="405"/>
      <c r="GM511" s="405"/>
      <c r="GN511" s="405"/>
      <c r="GO511" s="405"/>
      <c r="GP511" s="405"/>
      <c r="GQ511" s="405"/>
      <c r="GR511" s="405"/>
      <c r="GS511" s="405"/>
      <c r="GT511" s="405"/>
      <c r="GU511" s="405"/>
      <c r="GV511" s="405"/>
      <c r="GW511" s="405"/>
      <c r="GX511" s="405"/>
      <c r="GY511" s="405"/>
      <c r="GZ511" s="405"/>
      <c r="HA511" s="405"/>
      <c r="HB511" s="405"/>
      <c r="HC511" s="405"/>
      <c r="HD511" s="405"/>
      <c r="HE511" s="405"/>
      <c r="HF511" s="405"/>
      <c r="HG511" s="405"/>
      <c r="HH511" s="405"/>
      <c r="HI511" s="405"/>
      <c r="HJ511" s="405"/>
      <c r="HK511" s="405"/>
      <c r="HL511" s="405"/>
      <c r="HM511" s="405"/>
      <c r="HN511" s="405"/>
      <c r="HO511" s="405"/>
      <c r="HP511" s="405"/>
      <c r="HQ511" s="405"/>
      <c r="HR511" s="405"/>
      <c r="HS511" s="405"/>
      <c r="HT511" s="405"/>
      <c r="HU511" s="405"/>
      <c r="HV511" s="405"/>
      <c r="HW511" s="405"/>
      <c r="HX511" s="405"/>
      <c r="HY511" s="405"/>
      <c r="HZ511" s="405"/>
      <c r="IA511" s="405"/>
      <c r="IB511" s="405"/>
      <c r="IC511" s="405"/>
      <c r="ID511" s="405"/>
      <c r="IE511" s="405"/>
      <c r="IF511" s="405"/>
      <c r="IG511" s="405"/>
      <c r="IH511" s="405"/>
      <c r="II511" s="405"/>
      <c r="IJ511" s="405"/>
      <c r="IK511" s="405"/>
      <c r="IL511" s="405"/>
      <c r="IM511" s="405"/>
      <c r="IN511" s="405"/>
      <c r="IO511" s="405"/>
      <c r="IP511" s="405"/>
      <c r="IQ511" s="405"/>
      <c r="IR511" s="405"/>
      <c r="IS511" s="405"/>
      <c r="IT511" s="405"/>
      <c r="IU511" s="405"/>
      <c r="IV511" s="405"/>
    </row>
    <row r="512" spans="1:256" s="385" customFormat="1" ht="40.5" customHeight="1">
      <c r="A512" s="407"/>
      <c r="B512" s="408"/>
      <c r="C512" s="408"/>
      <c r="D512" s="36" t="s">
        <v>252</v>
      </c>
      <c r="E512" s="408"/>
      <c r="F512" s="409"/>
      <c r="G512" s="410"/>
      <c r="H512" s="403"/>
      <c r="I512" s="403"/>
      <c r="J512" s="307"/>
      <c r="K512" s="95"/>
      <c r="L512" s="95"/>
      <c r="M512" s="95"/>
      <c r="N512" s="95"/>
      <c r="O512" s="95"/>
      <c r="P512" s="95"/>
      <c r="Q512" s="95"/>
      <c r="R512" s="95"/>
      <c r="S512" s="95"/>
      <c r="T512" s="95"/>
      <c r="U512" s="95"/>
      <c r="V512" s="95"/>
      <c r="W512" s="95"/>
      <c r="X512" s="95"/>
      <c r="Y512" s="95"/>
      <c r="Z512" s="95"/>
      <c r="AA512" s="95"/>
      <c r="AB512" s="95"/>
      <c r="AC512" s="95"/>
      <c r="AD512" s="95"/>
      <c r="AE512" s="95"/>
      <c r="AF512" s="95"/>
      <c r="AG512" s="95"/>
      <c r="AH512" s="95"/>
      <c r="AI512" s="95"/>
      <c r="AJ512" s="95"/>
      <c r="AK512" s="95"/>
      <c r="AL512" s="95"/>
      <c r="AM512" s="95"/>
      <c r="AN512" s="95"/>
      <c r="AO512" s="95"/>
      <c r="AP512" s="95"/>
      <c r="AQ512" s="95"/>
    </row>
    <row r="513" spans="1:256" s="385" customFormat="1" ht="27" customHeight="1">
      <c r="A513" s="380"/>
      <c r="B513" s="381"/>
      <c r="C513" s="381"/>
      <c r="D513" s="411" t="s">
        <v>133</v>
      </c>
      <c r="E513" s="381"/>
      <c r="F513" s="382"/>
      <c r="G513" s="383"/>
      <c r="H513" s="383"/>
      <c r="I513" s="403"/>
      <c r="J513" s="346"/>
      <c r="K513" s="412"/>
      <c r="L513" s="412"/>
      <c r="M513" s="412"/>
      <c r="N513" s="412"/>
      <c r="O513" s="412"/>
      <c r="P513" s="95"/>
      <c r="Q513" s="95"/>
      <c r="R513" s="95"/>
      <c r="S513" s="95"/>
      <c r="T513" s="95"/>
      <c r="U513" s="95"/>
      <c r="V513" s="95"/>
      <c r="W513" s="95"/>
      <c r="X513" s="95"/>
      <c r="Y513" s="95"/>
      <c r="Z513" s="95"/>
      <c r="AA513" s="95"/>
      <c r="AB513" s="95"/>
      <c r="AC513" s="95"/>
      <c r="AD513" s="95"/>
      <c r="AE513" s="95"/>
      <c r="AF513" s="95"/>
      <c r="AG513" s="95"/>
      <c r="AH513" s="95"/>
      <c r="AI513" s="95"/>
      <c r="AJ513" s="95"/>
      <c r="AK513" s="95"/>
      <c r="AL513" s="95"/>
      <c r="AM513" s="95"/>
      <c r="AN513" s="95"/>
      <c r="AO513" s="95"/>
      <c r="AP513" s="95"/>
      <c r="AQ513" s="95"/>
    </row>
    <row r="514" spans="1:256" s="385" customFormat="1" ht="27" customHeight="1">
      <c r="A514" s="380"/>
      <c r="B514" s="381"/>
      <c r="C514" s="381"/>
      <c r="D514" s="411" t="s">
        <v>247</v>
      </c>
      <c r="E514" s="381"/>
      <c r="F514" s="382"/>
      <c r="G514" s="383"/>
      <c r="H514" s="383"/>
      <c r="I514" s="403"/>
      <c r="J514" s="167"/>
      <c r="K514" s="95"/>
      <c r="L514" s="95"/>
      <c r="M514" s="95"/>
      <c r="N514" s="95"/>
      <c r="O514" s="95"/>
      <c r="P514" s="95"/>
      <c r="Q514" s="95"/>
      <c r="R514" s="95"/>
      <c r="S514" s="95"/>
      <c r="T514" s="95"/>
      <c r="U514" s="95"/>
      <c r="V514" s="95"/>
      <c r="W514" s="95"/>
      <c r="X514" s="95"/>
      <c r="Y514" s="95"/>
      <c r="Z514" s="95"/>
      <c r="AA514" s="95"/>
      <c r="AB514" s="95"/>
      <c r="AC514" s="95"/>
      <c r="AD514" s="95"/>
      <c r="AE514" s="95"/>
      <c r="AF514" s="95"/>
      <c r="AG514" s="95"/>
      <c r="AH514" s="95"/>
      <c r="AI514" s="95"/>
      <c r="AJ514" s="95"/>
      <c r="AK514" s="95"/>
      <c r="AL514" s="95"/>
      <c r="AM514" s="95"/>
      <c r="AN514" s="95"/>
      <c r="AO514" s="95"/>
      <c r="AP514" s="95"/>
      <c r="AQ514" s="95"/>
    </row>
    <row r="515" spans="1:256" s="385" customFormat="1" ht="27" customHeight="1">
      <c r="A515" s="380"/>
      <c r="B515" s="381"/>
      <c r="C515" s="381"/>
      <c r="D515" s="386" t="s">
        <v>134</v>
      </c>
      <c r="E515" s="381"/>
      <c r="F515" s="403"/>
      <c r="G515" s="383"/>
      <c r="H515" s="383"/>
      <c r="I515" s="403"/>
      <c r="J515" s="95"/>
      <c r="K515" s="95"/>
      <c r="L515" s="95"/>
      <c r="M515" s="95"/>
      <c r="N515" s="95"/>
      <c r="O515" s="95"/>
      <c r="P515" s="95"/>
      <c r="Q515" s="95"/>
      <c r="R515" s="95"/>
      <c r="S515" s="95"/>
      <c r="T515" s="95"/>
      <c r="U515" s="95"/>
      <c r="V515" s="95"/>
      <c r="W515" s="95"/>
      <c r="X515" s="95"/>
      <c r="Y515" s="95"/>
      <c r="Z515" s="95"/>
      <c r="AA515" s="95"/>
      <c r="AB515" s="95"/>
      <c r="AC515" s="95"/>
      <c r="AD515" s="95"/>
      <c r="AE515" s="95"/>
      <c r="AF515" s="95"/>
      <c r="AG515" s="95"/>
      <c r="AH515" s="95"/>
      <c r="AI515" s="95"/>
      <c r="AJ515" s="95"/>
      <c r="AK515" s="95"/>
      <c r="AL515" s="95"/>
      <c r="AM515" s="95"/>
      <c r="AN515" s="95"/>
      <c r="AO515" s="95"/>
      <c r="AP515" s="95"/>
      <c r="AQ515" s="95"/>
    </row>
    <row r="516" spans="1:256" ht="27" customHeight="1">
      <c r="A516" s="446">
        <v>100</v>
      </c>
      <c r="B516" s="39" t="s">
        <v>130</v>
      </c>
      <c r="C516" s="10" t="s">
        <v>251</v>
      </c>
      <c r="D516" s="10" t="s">
        <v>585</v>
      </c>
      <c r="E516" s="10" t="s">
        <v>23</v>
      </c>
      <c r="F516" s="96">
        <f>F517</f>
        <v>1</v>
      </c>
      <c r="G516" s="459"/>
      <c r="H516" s="48">
        <f>F516*G516</f>
        <v>0</v>
      </c>
      <c r="I516" s="388" t="s">
        <v>306</v>
      </c>
      <c r="J516" s="413"/>
      <c r="K516" s="414"/>
      <c r="M516" s="415"/>
    </row>
    <row r="517" spans="1:256" ht="13.5" customHeight="1">
      <c r="A517" s="42"/>
      <c r="B517" s="39"/>
      <c r="C517" s="10"/>
      <c r="D517" s="36" t="s">
        <v>584</v>
      </c>
      <c r="E517" s="10"/>
      <c r="F517" s="37">
        <v>1</v>
      </c>
      <c r="G517" s="48"/>
      <c r="H517" s="48"/>
      <c r="I517" s="137"/>
      <c r="J517" s="416"/>
      <c r="K517" s="416"/>
    </row>
    <row r="518" spans="1:256" ht="67.5" customHeight="1">
      <c r="A518" s="42"/>
      <c r="B518" s="39"/>
      <c r="C518" s="10"/>
      <c r="D518" s="447" t="s">
        <v>583</v>
      </c>
      <c r="E518" s="10"/>
      <c r="F518" s="37"/>
      <c r="G518" s="48"/>
      <c r="H518" s="48"/>
      <c r="I518" s="137"/>
      <c r="J518" s="416"/>
      <c r="K518" s="416"/>
    </row>
    <row r="519" spans="1:256" ht="40.5" customHeight="1">
      <c r="A519" s="42"/>
      <c r="B519" s="39"/>
      <c r="C519" s="10"/>
      <c r="D519" s="36" t="s">
        <v>465</v>
      </c>
      <c r="E519" s="10"/>
      <c r="F519" s="37"/>
      <c r="G519" s="48"/>
      <c r="H519" s="48"/>
      <c r="I519" s="137"/>
      <c r="J519" s="417"/>
      <c r="K519" s="417"/>
    </row>
    <row r="520" spans="1:256" ht="13.5" customHeight="1">
      <c r="A520" s="42"/>
      <c r="B520" s="39"/>
      <c r="C520" s="10"/>
      <c r="D520" s="234" t="s">
        <v>586</v>
      </c>
      <c r="E520" s="10"/>
      <c r="F520" s="37"/>
      <c r="G520" s="48"/>
      <c r="H520" s="48"/>
      <c r="I520" s="137"/>
      <c r="J520" s="417"/>
      <c r="K520" s="417"/>
    </row>
    <row r="521" spans="1:256" s="95" customFormat="1" ht="13.5" customHeight="1">
      <c r="A521" s="117"/>
      <c r="B521" s="35"/>
      <c r="C521" s="35"/>
      <c r="D521" s="36" t="s">
        <v>250</v>
      </c>
      <c r="E521" s="35"/>
      <c r="F521" s="37"/>
      <c r="G521" s="47"/>
      <c r="H521" s="48"/>
      <c r="I521" s="38"/>
      <c r="K521" s="74"/>
    </row>
    <row r="522" spans="1:256" s="385" customFormat="1" ht="13.5" customHeight="1">
      <c r="A522" s="380">
        <v>101</v>
      </c>
      <c r="B522" s="381" t="s">
        <v>45</v>
      </c>
      <c r="C522" s="381" t="s">
        <v>135</v>
      </c>
      <c r="D522" s="381" t="s">
        <v>136</v>
      </c>
      <c r="E522" s="381" t="s">
        <v>31</v>
      </c>
      <c r="F522" s="382">
        <f>F523</f>
        <v>3</v>
      </c>
      <c r="G522" s="467"/>
      <c r="H522" s="383">
        <f>F522*G522</f>
        <v>0</v>
      </c>
      <c r="I522" s="388" t="s">
        <v>254</v>
      </c>
      <c r="J522" s="111"/>
      <c r="K522" s="111"/>
      <c r="L522" s="111"/>
      <c r="M522" s="111"/>
      <c r="N522" s="111"/>
      <c r="O522" s="111"/>
      <c r="P522" s="111"/>
      <c r="Q522" s="111"/>
      <c r="R522" s="111"/>
      <c r="S522" s="111"/>
      <c r="T522" s="111"/>
      <c r="U522" s="111"/>
      <c r="V522" s="111"/>
      <c r="W522" s="111"/>
      <c r="X522" s="111"/>
      <c r="Y522" s="111"/>
      <c r="Z522" s="111"/>
      <c r="AA522" s="111"/>
      <c r="AB522" s="111"/>
      <c r="AC522" s="111"/>
      <c r="AD522" s="111"/>
      <c r="AE522" s="111"/>
      <c r="AF522" s="111"/>
      <c r="AG522" s="111"/>
      <c r="AH522" s="111"/>
      <c r="AI522" s="111"/>
      <c r="AJ522" s="111"/>
      <c r="AK522" s="111"/>
      <c r="AL522" s="111"/>
      <c r="AM522" s="111"/>
      <c r="AN522" s="111"/>
      <c r="AO522" s="111"/>
      <c r="AP522" s="111"/>
      <c r="AQ522" s="111"/>
      <c r="AR522" s="405"/>
      <c r="AS522" s="405"/>
      <c r="AT522" s="405"/>
      <c r="AU522" s="405"/>
      <c r="AV522" s="405"/>
      <c r="AW522" s="405"/>
      <c r="AX522" s="405"/>
      <c r="AY522" s="405"/>
      <c r="AZ522" s="405"/>
      <c r="BA522" s="405"/>
      <c r="BB522" s="405"/>
      <c r="BC522" s="405"/>
      <c r="BD522" s="405"/>
      <c r="BE522" s="405"/>
      <c r="BF522" s="405"/>
      <c r="BG522" s="405"/>
      <c r="BH522" s="405"/>
      <c r="BI522" s="405"/>
      <c r="BJ522" s="405"/>
      <c r="BK522" s="405"/>
      <c r="BL522" s="405"/>
      <c r="BM522" s="405"/>
      <c r="BN522" s="405"/>
      <c r="BO522" s="405"/>
      <c r="BP522" s="405"/>
      <c r="BQ522" s="405"/>
      <c r="BR522" s="405"/>
      <c r="BS522" s="405"/>
      <c r="BT522" s="405"/>
      <c r="BU522" s="405"/>
      <c r="BV522" s="405"/>
      <c r="BW522" s="405"/>
      <c r="BX522" s="405"/>
      <c r="BY522" s="405"/>
      <c r="BZ522" s="405"/>
      <c r="CA522" s="405"/>
      <c r="CB522" s="405"/>
      <c r="CC522" s="405"/>
      <c r="CD522" s="405"/>
      <c r="CE522" s="405"/>
      <c r="CF522" s="405"/>
      <c r="CG522" s="405"/>
      <c r="CH522" s="405"/>
      <c r="CI522" s="405"/>
      <c r="CJ522" s="405"/>
      <c r="CK522" s="405"/>
      <c r="CL522" s="405"/>
      <c r="CM522" s="405"/>
      <c r="CN522" s="405"/>
      <c r="CO522" s="405"/>
      <c r="CP522" s="405"/>
      <c r="CQ522" s="405"/>
      <c r="CR522" s="405"/>
      <c r="CS522" s="405"/>
      <c r="CT522" s="405"/>
      <c r="CU522" s="405"/>
      <c r="CV522" s="405"/>
      <c r="CW522" s="405"/>
      <c r="CX522" s="405"/>
      <c r="CY522" s="405"/>
      <c r="CZ522" s="405"/>
      <c r="DA522" s="405"/>
      <c r="DB522" s="405"/>
      <c r="DC522" s="405"/>
      <c r="DD522" s="405"/>
      <c r="DE522" s="405"/>
      <c r="DF522" s="405"/>
      <c r="DG522" s="405"/>
      <c r="DH522" s="405"/>
      <c r="DI522" s="405"/>
      <c r="DJ522" s="405"/>
      <c r="DK522" s="405"/>
      <c r="DL522" s="405"/>
      <c r="DM522" s="405"/>
      <c r="DN522" s="405"/>
      <c r="DO522" s="405"/>
      <c r="DP522" s="405"/>
      <c r="DQ522" s="405"/>
      <c r="DR522" s="405"/>
      <c r="DS522" s="405"/>
      <c r="DT522" s="405"/>
      <c r="DU522" s="405"/>
      <c r="DV522" s="405"/>
      <c r="DW522" s="405"/>
      <c r="DX522" s="405"/>
      <c r="DY522" s="405"/>
      <c r="DZ522" s="405"/>
      <c r="EA522" s="405"/>
      <c r="EB522" s="405"/>
      <c r="EC522" s="405"/>
      <c r="ED522" s="405"/>
      <c r="EE522" s="405"/>
      <c r="EF522" s="405"/>
      <c r="EG522" s="405"/>
      <c r="EH522" s="405"/>
      <c r="EI522" s="405"/>
      <c r="EJ522" s="405"/>
      <c r="EK522" s="405"/>
      <c r="EL522" s="405"/>
      <c r="EM522" s="405"/>
      <c r="EN522" s="405"/>
      <c r="EO522" s="405"/>
      <c r="EP522" s="405"/>
      <c r="EQ522" s="405"/>
      <c r="ER522" s="405"/>
      <c r="ES522" s="405"/>
      <c r="ET522" s="405"/>
      <c r="EU522" s="405"/>
      <c r="EV522" s="405"/>
      <c r="EW522" s="405"/>
      <c r="EX522" s="405"/>
      <c r="EY522" s="405"/>
      <c r="EZ522" s="405"/>
      <c r="FA522" s="405"/>
      <c r="FB522" s="405"/>
      <c r="FC522" s="405"/>
      <c r="FD522" s="405"/>
      <c r="FE522" s="405"/>
      <c r="FF522" s="405"/>
      <c r="FG522" s="405"/>
      <c r="FH522" s="405"/>
      <c r="FI522" s="405"/>
      <c r="FJ522" s="405"/>
      <c r="FK522" s="405"/>
      <c r="FL522" s="405"/>
      <c r="FM522" s="405"/>
      <c r="FN522" s="405"/>
      <c r="FO522" s="405"/>
      <c r="FP522" s="405"/>
      <c r="FQ522" s="405"/>
      <c r="FR522" s="405"/>
      <c r="FS522" s="405"/>
      <c r="FT522" s="405"/>
      <c r="FU522" s="405"/>
      <c r="FV522" s="405"/>
      <c r="FW522" s="405"/>
      <c r="FX522" s="405"/>
      <c r="FY522" s="405"/>
      <c r="FZ522" s="405"/>
      <c r="GA522" s="405"/>
      <c r="GB522" s="405"/>
      <c r="GC522" s="405"/>
      <c r="GD522" s="405"/>
      <c r="GE522" s="405"/>
      <c r="GF522" s="405"/>
      <c r="GG522" s="405"/>
      <c r="GH522" s="405"/>
      <c r="GI522" s="405"/>
      <c r="GJ522" s="405"/>
      <c r="GK522" s="405"/>
      <c r="GL522" s="405"/>
      <c r="GM522" s="405"/>
      <c r="GN522" s="405"/>
      <c r="GO522" s="405"/>
      <c r="GP522" s="405"/>
      <c r="GQ522" s="405"/>
      <c r="GR522" s="405"/>
      <c r="GS522" s="405"/>
      <c r="GT522" s="405"/>
      <c r="GU522" s="405"/>
      <c r="GV522" s="405"/>
      <c r="GW522" s="405"/>
      <c r="GX522" s="405"/>
      <c r="GY522" s="405"/>
      <c r="GZ522" s="405"/>
      <c r="HA522" s="405"/>
      <c r="HB522" s="405"/>
      <c r="HC522" s="405"/>
      <c r="HD522" s="405"/>
      <c r="HE522" s="405"/>
      <c r="HF522" s="405"/>
      <c r="HG522" s="405"/>
      <c r="HH522" s="405"/>
      <c r="HI522" s="405"/>
      <c r="HJ522" s="405"/>
      <c r="HK522" s="405"/>
      <c r="HL522" s="405"/>
      <c r="HM522" s="405"/>
      <c r="HN522" s="405"/>
      <c r="HO522" s="405"/>
      <c r="HP522" s="405"/>
      <c r="HQ522" s="405"/>
      <c r="HR522" s="405"/>
      <c r="HS522" s="405"/>
      <c r="HT522" s="405"/>
      <c r="HU522" s="405"/>
      <c r="HV522" s="405"/>
      <c r="HW522" s="405"/>
      <c r="HX522" s="405"/>
      <c r="HY522" s="405"/>
      <c r="HZ522" s="405"/>
      <c r="IA522" s="405"/>
      <c r="IB522" s="405"/>
      <c r="IC522" s="405"/>
      <c r="ID522" s="405"/>
      <c r="IE522" s="405"/>
      <c r="IF522" s="405"/>
      <c r="IG522" s="405"/>
      <c r="IH522" s="405"/>
      <c r="II522" s="405"/>
      <c r="IJ522" s="405"/>
      <c r="IK522" s="405"/>
      <c r="IL522" s="405"/>
      <c r="IM522" s="405"/>
      <c r="IN522" s="405"/>
      <c r="IO522" s="405"/>
      <c r="IP522" s="405"/>
      <c r="IQ522" s="405"/>
      <c r="IR522" s="405"/>
      <c r="IS522" s="405"/>
      <c r="IT522" s="405"/>
      <c r="IU522" s="405"/>
      <c r="IV522" s="405"/>
    </row>
    <row r="523" spans="1:256" s="385" customFormat="1" ht="13.5" customHeight="1">
      <c r="A523" s="407"/>
      <c r="B523" s="408"/>
      <c r="C523" s="408"/>
      <c r="D523" s="386" t="s">
        <v>177</v>
      </c>
      <c r="E523" s="408"/>
      <c r="F523" s="387">
        <v>3</v>
      </c>
      <c r="G523" s="410"/>
      <c r="H523" s="383"/>
      <c r="I523" s="403"/>
      <c r="J523" s="95"/>
      <c r="K523" s="95"/>
      <c r="L523" s="95"/>
      <c r="M523" s="95"/>
      <c r="N523" s="95"/>
      <c r="O523" s="95"/>
      <c r="P523" s="95"/>
      <c r="Q523" s="95"/>
      <c r="R523" s="95"/>
      <c r="S523" s="95"/>
      <c r="T523" s="95"/>
      <c r="U523" s="95"/>
      <c r="V523" s="95"/>
      <c r="W523" s="95"/>
      <c r="X523" s="95"/>
      <c r="Y523" s="95"/>
      <c r="Z523" s="95"/>
      <c r="AA523" s="95"/>
      <c r="AB523" s="95"/>
      <c r="AC523" s="95"/>
      <c r="AD523" s="95"/>
      <c r="AE523" s="95"/>
      <c r="AF523" s="95"/>
      <c r="AG523" s="95"/>
      <c r="AH523" s="95"/>
      <c r="AI523" s="95"/>
      <c r="AJ523" s="95"/>
      <c r="AK523" s="95"/>
      <c r="AL523" s="95"/>
      <c r="AM523" s="95"/>
      <c r="AN523" s="95"/>
      <c r="AO523" s="95"/>
      <c r="AP523" s="95"/>
      <c r="AQ523" s="95"/>
    </row>
    <row r="524" spans="1:256" s="385" customFormat="1" ht="13.5" customHeight="1">
      <c r="A524" s="407"/>
      <c r="B524" s="408"/>
      <c r="C524" s="408"/>
      <c r="D524" s="386" t="s">
        <v>57</v>
      </c>
      <c r="E524" s="408"/>
      <c r="F524" s="387"/>
      <c r="G524" s="410"/>
      <c r="H524" s="383"/>
      <c r="I524" s="403"/>
      <c r="J524" s="95"/>
      <c r="K524" s="95"/>
      <c r="L524" s="95"/>
      <c r="M524" s="95"/>
      <c r="N524" s="95"/>
      <c r="O524" s="95"/>
      <c r="P524" s="95"/>
      <c r="Q524" s="95"/>
      <c r="R524" s="95"/>
      <c r="S524" s="95"/>
      <c r="T524" s="95"/>
      <c r="U524" s="95"/>
      <c r="V524" s="95"/>
      <c r="W524" s="95"/>
      <c r="X524" s="95"/>
      <c r="Y524" s="95"/>
      <c r="Z524" s="95"/>
      <c r="AA524" s="95"/>
      <c r="AB524" s="95"/>
      <c r="AC524" s="95"/>
      <c r="AD524" s="95"/>
      <c r="AE524" s="95"/>
      <c r="AF524" s="95"/>
      <c r="AG524" s="95"/>
      <c r="AH524" s="95"/>
      <c r="AI524" s="95"/>
      <c r="AJ524" s="95"/>
      <c r="AK524" s="95"/>
      <c r="AL524" s="95"/>
      <c r="AM524" s="95"/>
      <c r="AN524" s="95"/>
      <c r="AO524" s="95"/>
      <c r="AP524" s="95"/>
      <c r="AQ524" s="95"/>
    </row>
    <row r="525" spans="1:256" s="75" customFormat="1" ht="21" customHeight="1">
      <c r="A525" s="418"/>
      <c r="B525" s="419"/>
      <c r="C525" s="419"/>
      <c r="D525" s="419" t="s">
        <v>18</v>
      </c>
      <c r="E525" s="419"/>
      <c r="F525" s="420"/>
      <c r="G525" s="421"/>
      <c r="H525" s="421">
        <f>H508+H163+H9</f>
        <v>0</v>
      </c>
    </row>
    <row r="526" spans="1:256" s="426" customFormat="1" ht="12" customHeight="1">
      <c r="A526" s="422"/>
      <c r="B526" s="423"/>
      <c r="C526" s="423"/>
      <c r="D526" s="423"/>
      <c r="E526" s="423"/>
      <c r="F526" s="424"/>
      <c r="G526" s="425"/>
      <c r="H526" s="425"/>
    </row>
    <row r="527" spans="1:256" s="75" customFormat="1" ht="13.5" customHeight="1">
      <c r="A527" s="454" t="s">
        <v>19</v>
      </c>
      <c r="B527" s="455"/>
      <c r="C527" s="456"/>
      <c r="D527" s="427" t="s">
        <v>249</v>
      </c>
      <c r="E527" s="428"/>
      <c r="F527" s="429"/>
      <c r="G527" s="430"/>
      <c r="H527" s="431">
        <f>H525</f>
        <v>0</v>
      </c>
      <c r="K527" s="432"/>
    </row>
    <row r="528" spans="1:256" s="75" customFormat="1" ht="13.5" customHeight="1">
      <c r="A528" s="433"/>
      <c r="B528" s="434"/>
      <c r="C528" s="434"/>
      <c r="D528" s="435"/>
      <c r="E528" s="436"/>
      <c r="F528" s="437"/>
      <c r="G528" s="438"/>
      <c r="H528" s="439"/>
    </row>
    <row r="529" spans="1:11" s="440" customFormat="1" ht="10.199999999999999">
      <c r="A529" s="440" t="s">
        <v>29</v>
      </c>
    </row>
    <row r="530" spans="1:11" s="75" customFormat="1" ht="31.5" customHeight="1">
      <c r="A530" s="451" t="s">
        <v>36</v>
      </c>
      <c r="B530" s="457"/>
      <c r="C530" s="457"/>
      <c r="D530" s="457"/>
      <c r="E530" s="457"/>
      <c r="F530" s="457"/>
      <c r="G530" s="457"/>
      <c r="H530" s="440"/>
    </row>
    <row r="531" spans="1:11" s="440" customFormat="1" ht="102.75" customHeight="1">
      <c r="A531" s="451" t="s">
        <v>37</v>
      </c>
      <c r="B531" s="458"/>
      <c r="C531" s="458"/>
      <c r="D531" s="458"/>
      <c r="E531" s="458"/>
      <c r="F531" s="458"/>
      <c r="G531" s="458"/>
    </row>
    <row r="532" spans="1:11" s="442" customFormat="1" ht="13.5" customHeight="1">
      <c r="A532" s="451" t="s">
        <v>38</v>
      </c>
      <c r="B532" s="452"/>
      <c r="C532" s="452"/>
      <c r="D532" s="452"/>
      <c r="E532" s="452"/>
      <c r="F532" s="452"/>
      <c r="G532" s="452"/>
      <c r="H532" s="441"/>
      <c r="I532" s="441"/>
    </row>
    <row r="533" spans="1:11" s="442" customFormat="1" ht="13.5" customHeight="1">
      <c r="A533" s="451" t="s">
        <v>39</v>
      </c>
      <c r="B533" s="452"/>
      <c r="C533" s="452"/>
      <c r="D533" s="452"/>
      <c r="E533" s="452"/>
      <c r="F533" s="452"/>
      <c r="G533" s="452"/>
      <c r="H533" s="441"/>
      <c r="I533" s="441"/>
      <c r="K533" s="443"/>
    </row>
    <row r="534" spans="1:11" customFormat="1" ht="40.5" customHeight="1">
      <c r="A534" s="450" t="s">
        <v>580</v>
      </c>
      <c r="B534" s="450"/>
      <c r="C534" s="450"/>
      <c r="D534" s="450"/>
      <c r="E534" s="450"/>
      <c r="F534" s="450"/>
      <c r="G534" s="450"/>
      <c r="I534" s="95"/>
    </row>
  </sheetData>
  <sheetProtection algorithmName="SHA-512" hashValue="0fBY0oyFwd7y6rZE1eEmApTjSxVgiYE0IWSYwiN6K0PSxHIrFMQtZUMkBzj7/Hsi3GGQhN0I1Bt/wrynpjoAGA==" saltValue="r+HoNnFWdbManm9CB5YwFw==" spinCount="100000" sheet="1" objects="1" scenarios="1"/>
  <mergeCells count="8">
    <mergeCell ref="A534:G534"/>
    <mergeCell ref="A533:G533"/>
    <mergeCell ref="A2:I2"/>
    <mergeCell ref="A3:D3"/>
    <mergeCell ref="A527:C527"/>
    <mergeCell ref="A530:G530"/>
    <mergeCell ref="A531:G531"/>
    <mergeCell ref="A532:G532"/>
  </mergeCells>
  <printOptions horizontalCentered="1"/>
  <pageMargins left="0.39370078740157483" right="0.39370078740157483" top="0.78740157480314965" bottom="0.39370078740157483" header="0" footer="0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- 3. NP-C</vt:lpstr>
      <vt:lpstr>NOVÝ STAV</vt:lpstr>
      <vt:lpstr>'NOVÝ STAV'!Oblast_tisku</vt:lpstr>
      <vt:lpstr>'Rekapitulace - 3. NP-C'!Oblast_tisku</vt:lpstr>
      <vt:lpstr>'NOVÝ STAV'!Print_Area</vt:lpstr>
      <vt:lpstr>'Rekapitulace - 3. NP-C'!Print_Area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2022-11-10T10:26:05Z</dcterms:modified>
</cp:coreProperties>
</file>